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ad.ucl.ac.uk\homec\zcfthuc\DesktopSettings\Desktop\ltrview\"/>
    </mc:Choice>
  </mc:AlternateContent>
  <xr:revisionPtr revIDLastSave="0" documentId="13_ncr:1_{F68C59BE-EA75-4765-9CC1-F87E5F47EE61}" xr6:coauthVersionLast="47" xr6:coauthVersionMax="47" xr10:uidLastSave="{00000000-0000-0000-0000-000000000000}"/>
  <bookViews>
    <workbookView xWindow="4005" yWindow="1575" windowWidth="19215" windowHeight="14250" tabRatio="787" firstSheet="1" activeTab="2" xr2:uid="{00000000-000D-0000-FFFF-FFFF00000000}"/>
  </bookViews>
  <sheets>
    <sheet name="HOME" sheetId="6" r:id="rId1"/>
    <sheet name="SUMMARY" sheetId="9" r:id="rId2"/>
    <sheet name="Sheet1" sheetId="12" r:id="rId3"/>
    <sheet name="CHARMS" sheetId="5" r:id="rId4"/>
    <sheet name="PROBAST" sheetId="7" r:id="rId5"/>
    <sheet name="Study Characteristics" sheetId="1" r:id="rId6"/>
    <sheet name="Model characteristics" sheetId="10" r:id="rId7"/>
    <sheet name="PROBAST summary" sheetId="8" r:id="rId8"/>
    <sheet name="CHARMS.Drop-down response list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9" l="1"/>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N12" i="5"/>
  <c r="BN11" i="5"/>
  <c r="BN10" i="5"/>
  <c r="BN9" i="5"/>
  <c r="BN8" i="5"/>
  <c r="BK12" i="5"/>
  <c r="BK11" i="5"/>
  <c r="BK10" i="5"/>
  <c r="BK9" i="5"/>
  <c r="BK8" i="5"/>
  <c r="BH12" i="5"/>
  <c r="BH11" i="5"/>
  <c r="BH10" i="5"/>
  <c r="BH9" i="5"/>
  <c r="BH8" i="5"/>
  <c r="BE12" i="5"/>
  <c r="BE11" i="5"/>
  <c r="BE10" i="5"/>
  <c r="BE9" i="5"/>
  <c r="BE8" i="5"/>
  <c r="BB12" i="5"/>
  <c r="BB11" i="5"/>
  <c r="BB10" i="5"/>
  <c r="BB9" i="5"/>
  <c r="BB8" i="5"/>
  <c r="BB95" i="5" s="1"/>
  <c r="AY12" i="5"/>
  <c r="AY11" i="5"/>
  <c r="AY10" i="5"/>
  <c r="AY9" i="5"/>
  <c r="AY8" i="5"/>
  <c r="AV12" i="5"/>
  <c r="AV11" i="5"/>
  <c r="AV10" i="5"/>
  <c r="AV9" i="5"/>
  <c r="AV8" i="5"/>
  <c r="AS11" i="5"/>
  <c r="AS10" i="5"/>
  <c r="AS9" i="5"/>
  <c r="AS8" i="5"/>
  <c r="AS12" i="5"/>
  <c r="AP12" i="5"/>
  <c r="AP11" i="5"/>
  <c r="AP10" i="5"/>
  <c r="AP9" i="5"/>
  <c r="AP8" i="5"/>
  <c r="AM12" i="5"/>
  <c r="AM11" i="5"/>
  <c r="AM10" i="5"/>
  <c r="AM9" i="5"/>
  <c r="AM8" i="5"/>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BQ95" i="5" l="1"/>
  <c r="AY95" i="5"/>
  <c r="AS95" i="5"/>
  <c r="AM95" i="5"/>
  <c r="AP95" i="5"/>
  <c r="BE95" i="5"/>
  <c r="BH95" i="5"/>
  <c r="AV95" i="5"/>
  <c r="BK95" i="5"/>
  <c r="BN95" i="5"/>
  <c r="X95" i="5"/>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7" i="8" l="1"/>
  <c r="G7" i="8"/>
  <c r="F7" i="8"/>
  <c r="D7" i="8"/>
  <c r="E7" i="8"/>
  <c r="C7" i="8"/>
  <c r="H7" i="8"/>
  <c r="A8" i="8"/>
  <c r="A64" i="10"/>
  <c r="A35" i="8"/>
  <c r="F35" i="8" s="1"/>
  <c r="A35" i="1"/>
  <c r="A62" i="10"/>
  <c r="A34" i="8"/>
  <c r="C34" i="8" s="1"/>
  <c r="A34" i="1"/>
  <c r="A60" i="10"/>
  <c r="A33" i="8"/>
  <c r="A33" i="1"/>
  <c r="A58" i="10"/>
  <c r="A32" i="8"/>
  <c r="I32" i="8" s="1"/>
  <c r="A32" i="1"/>
  <c r="A56" i="10"/>
  <c r="A31" i="8"/>
  <c r="G31" i="8" s="1"/>
  <c r="A31" i="1"/>
  <c r="A54" i="10"/>
  <c r="A30" i="8"/>
  <c r="G30" i="8" s="1"/>
  <c r="A30" i="1"/>
  <c r="A52" i="10"/>
  <c r="A29" i="8"/>
  <c r="A29" i="1"/>
  <c r="A50" i="10"/>
  <c r="A28" i="8"/>
  <c r="A28" i="1"/>
  <c r="A48" i="10"/>
  <c r="A27" i="8"/>
  <c r="I27" i="8" s="1"/>
  <c r="A27" i="1"/>
  <c r="A46" i="10"/>
  <c r="A26" i="8"/>
  <c r="F26" i="8" s="1"/>
  <c r="A26" i="1"/>
  <c r="A44" i="10"/>
  <c r="A25" i="8"/>
  <c r="A25" i="1"/>
  <c r="A42" i="10"/>
  <c r="A24" i="8"/>
  <c r="D24" i="8" s="1"/>
  <c r="A24" i="1"/>
  <c r="A40" i="10"/>
  <c r="A23" i="8"/>
  <c r="A23" i="1"/>
  <c r="A38" i="10"/>
  <c r="A22" i="8"/>
  <c r="F22" i="8" s="1"/>
  <c r="A22" i="1"/>
  <c r="A36" i="10"/>
  <c r="A21" i="8"/>
  <c r="A21" i="1"/>
  <c r="A34" i="10"/>
  <c r="A20" i="8"/>
  <c r="A20" i="1"/>
  <c r="A32" i="10"/>
  <c r="A19" i="8"/>
  <c r="I19" i="8" s="1"/>
  <c r="A19" i="1"/>
  <c r="A30" i="10"/>
  <c r="A18" i="8"/>
  <c r="F18" i="8" s="1"/>
  <c r="A18" i="1"/>
  <c r="A28" i="10"/>
  <c r="A17" i="8"/>
  <c r="A17" i="1"/>
  <c r="A26" i="10"/>
  <c r="A16" i="8"/>
  <c r="D16" i="8" s="1"/>
  <c r="A16" i="1"/>
  <c r="A24" i="10"/>
  <c r="A15" i="8"/>
  <c r="D15" i="8" s="1"/>
  <c r="A15" i="1"/>
  <c r="A22" i="10"/>
  <c r="A14" i="8"/>
  <c r="I14" i="8" s="1"/>
  <c r="A14" i="1"/>
  <c r="D34" i="8"/>
  <c r="D13" i="8"/>
  <c r="D12" i="8"/>
  <c r="C11" i="8"/>
  <c r="C13" i="8"/>
  <c r="C12" i="8"/>
  <c r="I10" i="8"/>
  <c r="F30" i="8"/>
  <c r="I11" i="8"/>
  <c r="H10" i="8"/>
  <c r="I34" i="8"/>
  <c r="E30" i="8"/>
  <c r="I13" i="8"/>
  <c r="I12" i="8"/>
  <c r="H11" i="8"/>
  <c r="G10" i="8"/>
  <c r="H34" i="8"/>
  <c r="D30" i="8"/>
  <c r="H13" i="8"/>
  <c r="H12" i="8"/>
  <c r="G11" i="8"/>
  <c r="F10" i="8"/>
  <c r="G34" i="8"/>
  <c r="C30" i="8"/>
  <c r="G13" i="8"/>
  <c r="G12" i="8"/>
  <c r="F11" i="8"/>
  <c r="E10" i="8"/>
  <c r="F34" i="8"/>
  <c r="D22" i="8"/>
  <c r="D21" i="8"/>
  <c r="F13" i="8"/>
  <c r="F12" i="8"/>
  <c r="E11" i="8"/>
  <c r="D10" i="8"/>
  <c r="E34" i="8"/>
  <c r="I30" i="8"/>
  <c r="E13" i="8"/>
  <c r="E12" i="8"/>
  <c r="D11" i="8"/>
  <c r="C10" i="8"/>
  <c r="A9" i="8"/>
  <c r="A20" i="10"/>
  <c r="A13" i="1"/>
  <c r="A18" i="10"/>
  <c r="A12" i="1"/>
  <c r="A16" i="10"/>
  <c r="A11" i="1"/>
  <c r="A14" i="10"/>
  <c r="A10" i="1"/>
  <c r="A12" i="10"/>
  <c r="A9" i="1"/>
  <c r="A10" i="10"/>
  <c r="A8" i="1"/>
  <c r="A8" i="10"/>
  <c r="A7" i="1"/>
  <c r="F6" i="5"/>
  <c r="O76" i="7" s="1"/>
  <c r="H26" i="8" l="1"/>
  <c r="G26" i="8"/>
  <c r="I26" i="8"/>
  <c r="G24" i="8"/>
  <c r="I24" i="8"/>
  <c r="H22" i="8"/>
  <c r="C22" i="8"/>
  <c r="G14" i="8"/>
  <c r="E14" i="8"/>
  <c r="H14" i="8"/>
  <c r="F14" i="8"/>
  <c r="C14" i="8"/>
  <c r="D26" i="8"/>
  <c r="C18" i="8"/>
  <c r="F24" i="8"/>
  <c r="C26" i="8"/>
  <c r="D18" i="8"/>
  <c r="H24" i="8"/>
  <c r="E22" i="8"/>
  <c r="G22" i="8"/>
  <c r="I22" i="8"/>
  <c r="E18" i="8"/>
  <c r="G18" i="8"/>
  <c r="I18" i="8"/>
  <c r="E26" i="8"/>
  <c r="G8" i="10"/>
  <c r="L8" i="10"/>
  <c r="G10" i="10"/>
  <c r="L10" i="10"/>
  <c r="G12" i="10"/>
  <c r="L12" i="10"/>
  <c r="G14" i="10"/>
  <c r="L14" i="10"/>
  <c r="G16" i="10"/>
  <c r="L16" i="10"/>
  <c r="G18" i="10"/>
  <c r="L18" i="10"/>
  <c r="G20" i="10"/>
  <c r="L20" i="10"/>
  <c r="G22" i="10"/>
  <c r="L22" i="10"/>
  <c r="G24" i="10"/>
  <c r="L24" i="10"/>
  <c r="G26" i="10"/>
  <c r="L26" i="10"/>
  <c r="K28" i="10"/>
  <c r="G28" i="10"/>
  <c r="L28" i="10"/>
  <c r="K30" i="10"/>
  <c r="G30" i="10"/>
  <c r="L30"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K60" i="10"/>
  <c r="G60" i="10"/>
  <c r="L60" i="10"/>
  <c r="K62" i="10"/>
  <c r="G62" i="10"/>
  <c r="L62" i="10"/>
  <c r="K64" i="10"/>
  <c r="G64" i="10"/>
  <c r="L64" i="10"/>
  <c r="K32" i="10"/>
  <c r="G32" i="10"/>
  <c r="L32"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B35" i="8"/>
  <c r="D14" i="8"/>
  <c r="B14" i="8"/>
  <c r="B22" i="8"/>
  <c r="B30" i="8"/>
  <c r="K16" i="10"/>
  <c r="K22" i="10"/>
  <c r="D17" i="8"/>
  <c r="B17" i="8"/>
  <c r="C25" i="8"/>
  <c r="B25" i="8"/>
  <c r="I33" i="8"/>
  <c r="B33" i="8"/>
  <c r="B8" i="8"/>
  <c r="B12" i="8"/>
  <c r="G20" i="8"/>
  <c r="B20" i="8"/>
  <c r="H28" i="8"/>
  <c r="B28" i="8"/>
  <c r="B13" i="8"/>
  <c r="B15" i="8"/>
  <c r="E23" i="8"/>
  <c r="B23" i="8"/>
  <c r="H31" i="8"/>
  <c r="B31" i="8"/>
  <c r="B7" i="8"/>
  <c r="K24" i="10"/>
  <c r="H18" i="8"/>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E29" i="8"/>
  <c r="C21" i="8"/>
  <c r="C29" i="8"/>
  <c r="G21" i="8"/>
  <c r="H21" i="8"/>
  <c r="H29" i="8"/>
  <c r="G29" i="8"/>
  <c r="E21" i="8"/>
  <c r="I21" i="8"/>
  <c r="I29" i="8"/>
  <c r="K26"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H17" i="8"/>
  <c r="I17" i="8"/>
  <c r="K11" i="8"/>
  <c r="C15" i="8"/>
  <c r="I23" i="8"/>
  <c r="D25" i="8"/>
  <c r="G17" i="8"/>
  <c r="C31" i="8"/>
  <c r="D31" i="8"/>
  <c r="E31" i="8"/>
  <c r="F31" i="8"/>
  <c r="E17" i="8"/>
  <c r="C33" i="8"/>
  <c r="F17" i="8"/>
  <c r="F23" i="8"/>
  <c r="G23" i="8"/>
  <c r="H23" i="8"/>
  <c r="C23" i="8"/>
  <c r="E33" i="8"/>
  <c r="H15" i="8"/>
  <c r="F33" i="8"/>
  <c r="I15" i="8"/>
  <c r="G33" i="8"/>
  <c r="H33" i="8"/>
  <c r="J10" i="8"/>
  <c r="D23" i="8"/>
  <c r="H25" i="8"/>
  <c r="C17" i="8"/>
  <c r="I25" i="8"/>
  <c r="E25" i="8"/>
  <c r="F15" i="8"/>
  <c r="D33" i="8"/>
  <c r="G15" i="8"/>
  <c r="E15" i="8"/>
  <c r="H30" i="8"/>
  <c r="K30" i="8" s="1"/>
  <c r="J34" i="8"/>
  <c r="I9" i="8"/>
  <c r="H9" i="8"/>
  <c r="G9" i="8"/>
  <c r="F9" i="8"/>
  <c r="E9" i="8"/>
  <c r="D9" i="8"/>
  <c r="C9" i="8"/>
  <c r="J11" i="8"/>
  <c r="J12" i="8"/>
  <c r="J13" i="8"/>
  <c r="A6" i="10"/>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K14" i="8" l="1"/>
  <c r="J22" i="8"/>
  <c r="K24" i="8"/>
  <c r="J14" i="8"/>
  <c r="K22" i="8"/>
  <c r="J18" i="8"/>
  <c r="J26" i="8"/>
  <c r="K18" i="8"/>
  <c r="K31" i="8"/>
  <c r="K32" i="8"/>
  <c r="J24" i="8"/>
  <c r="J32" i="8"/>
  <c r="K6" i="10"/>
  <c r="G6" i="10"/>
  <c r="L6" i="10"/>
  <c r="K16" i="8"/>
  <c r="K27" i="8"/>
  <c r="J16" i="8"/>
  <c r="J27" i="8"/>
  <c r="K19" i="8"/>
  <c r="C6" i="8"/>
  <c r="C38" i="8" s="1"/>
  <c r="B6" i="8"/>
  <c r="J19" i="8"/>
  <c r="J35" i="8"/>
  <c r="K35" i="8"/>
  <c r="P7" i="10"/>
  <c r="Q7" i="10"/>
  <c r="P6" i="10"/>
  <c r="O6" i="10"/>
  <c r="R6" i="10"/>
  <c r="Q6" i="10"/>
  <c r="O7" i="10"/>
  <c r="M6" i="10"/>
  <c r="D6" i="10"/>
  <c r="J6" i="10"/>
  <c r="H6" i="10"/>
  <c r="I6" i="10"/>
  <c r="F6" i="10"/>
  <c r="E6" i="10"/>
  <c r="C6" i="10"/>
  <c r="K20" i="8"/>
  <c r="J28" i="8"/>
  <c r="J20" i="8"/>
  <c r="J21" i="8"/>
  <c r="K28" i="8"/>
  <c r="K21" i="8"/>
  <c r="K29" i="8"/>
  <c r="J29" i="8"/>
  <c r="J25" i="8"/>
  <c r="J33" i="8"/>
  <c r="G6" i="8"/>
  <c r="G37" i="8" s="1"/>
  <c r="H6" i="8"/>
  <c r="H38" i="8" s="1"/>
  <c r="F6" i="8"/>
  <c r="F38" i="8" s="1"/>
  <c r="E6" i="8"/>
  <c r="E38" i="8" s="1"/>
  <c r="D6" i="8"/>
  <c r="D37" i="8" s="1"/>
  <c r="I6" i="8"/>
  <c r="I37" i="8" s="1"/>
  <c r="J17" i="8"/>
  <c r="I6" i="1"/>
  <c r="G6" i="1"/>
  <c r="F6" i="1"/>
  <c r="K6" i="1"/>
  <c r="J6" i="1"/>
  <c r="H6" i="1"/>
  <c r="E6" i="1"/>
  <c r="B6" i="1"/>
  <c r="C6" i="1"/>
  <c r="D6" i="1"/>
  <c r="K8" i="8"/>
  <c r="J31" i="8"/>
  <c r="J8" i="8"/>
  <c r="K17" i="8"/>
  <c r="K25" i="8"/>
  <c r="K33" i="8"/>
  <c r="J23" i="8"/>
  <c r="K15" i="8"/>
  <c r="J15" i="8"/>
  <c r="K23" i="8"/>
  <c r="J9" i="8"/>
  <c r="K9" i="8"/>
  <c r="B6" i="10"/>
  <c r="F37" i="8" l="1"/>
  <c r="F39" i="8" s="1"/>
  <c r="I38" i="8"/>
  <c r="I39" i="8" s="1"/>
  <c r="G38" i="8"/>
  <c r="G39" i="8" s="1"/>
  <c r="D38" i="8"/>
  <c r="D39" i="8" s="1"/>
  <c r="H37" i="8"/>
  <c r="H39" i="8" s="1"/>
  <c r="E37" i="8"/>
  <c r="E39" i="8" s="1"/>
  <c r="C37" i="8"/>
  <c r="C39" i="8" s="1"/>
  <c r="J6" i="8"/>
  <c r="J37" i="8" s="1"/>
  <c r="K6" i="8"/>
  <c r="K38" i="8" s="1"/>
  <c r="J38" i="8" l="1"/>
  <c r="J39" i="8" s="1"/>
  <c r="K37" i="8"/>
  <c r="K39" i="8" s="1"/>
  <c r="B80" i="7" l="1"/>
</calcChain>
</file>

<file path=xl/sharedStrings.xml><?xml version="1.0" encoding="utf-8"?>
<sst xmlns="http://schemas.openxmlformats.org/spreadsheetml/2006/main" count="2139" uniqueCount="512">
  <si>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</si>
  <si>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</si>
  <si>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</si>
  <si>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</si>
  <si>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</si>
  <si>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</si>
  <si>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</si>
  <si>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</si>
  <si>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</si>
  <si>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</si>
  <si>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</si>
  <si>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</si>
  <si>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</si>
  <si>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</si>
  <si>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</si>
  <si>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</si>
  <si>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</si>
  <si>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</si>
  <si>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</si>
  <si>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</si>
  <si>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</si>
  <si>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</si>
  <si>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</si>
  <si>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A pragmatic approach for mortality prediction after surgery in infective endocarditis: optimizing and refining EuroSCORE</t>
  </si>
  <si>
    <t>Clinical Microbiology and Infection</t>
  </si>
  <si>
    <t>Specific EuroSCORE-II</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</si>
  <si>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</si>
  <si>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</si>
  <si>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</si>
  <si>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</si>
  <si>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</si>
  <si>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</si>
  <si>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</si>
  <si>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</si>
  <si>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</si>
  <si>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</si>
  <si>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</si>
  <si>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</si>
  <si>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</si>
  <si>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</si>
  <si>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</si>
  <si>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</si>
  <si>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</si>
  <si>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Existing registry</t>
  </si>
  <si>
    <t>Retrospective cohort</t>
  </si>
  <si>
    <t>Other (specify)</t>
  </si>
  <si>
    <t>2. Participants</t>
  </si>
  <si>
    <t>x</t>
  </si>
  <si>
    <t>2.1 Recruitment method</t>
  </si>
  <si>
    <t>Selective inclusion</t>
  </si>
  <si>
    <t>Prospective recruitment</t>
  </si>
  <si>
    <t>Consecutive patients</t>
  </si>
  <si>
    <t>No information</t>
  </si>
  <si>
    <t>Consecutive patients prospectively recruited on an ongoing database</t>
  </si>
  <si>
    <t>2.2 Recruitment dates</t>
  </si>
  <si>
    <t>2002 - 2008</t>
  </si>
  <si>
    <t>1980 - 2009</t>
  </si>
  <si>
    <t>2008 - 2010</t>
  </si>
  <si>
    <t>2007 - 2014</t>
  </si>
  <si>
    <t>2000 - 2015 (Italy) 2008 (France)</t>
  </si>
  <si>
    <t>2000 - 2015</t>
  </si>
  <si>
    <t>1999 - 2015</t>
  </si>
  <si>
    <t>1996 - 2014</t>
  </si>
  <si>
    <t>2000 - 2011</t>
  </si>
  <si>
    <t>2.3 Study setting</t>
  </si>
  <si>
    <t>Cardiac surgery centers</t>
  </si>
  <si>
    <t>Cardiac surgery center</t>
  </si>
  <si>
    <t>2.4 Study sites (Regions)</t>
  </si>
  <si>
    <t>North America</t>
  </si>
  <si>
    <t>Italy</t>
  </si>
  <si>
    <t>Spain</t>
  </si>
  <si>
    <t>Portugal</t>
  </si>
  <si>
    <t>Italy and France</t>
  </si>
  <si>
    <t>2.5 Study sites (Number of centers)</t>
  </si>
  <si>
    <t>Unclear</t>
  </si>
  <si>
    <t>2.6 Criteria inclusion</t>
  </si>
  <si>
    <t>All patients with the diagnosis of IE who underwent surgery on the aortic, mitral, and/or tricuspid valves.</t>
  </si>
  <si>
    <t>Infective Endocarditis of native valves</t>
  </si>
  <si>
    <t>Patients with definite or possible IE who underwent surgery.</t>
  </si>
  <si>
    <t>Patients underwent cardiac surgery under extracorporeal circulation for active IE (according to modified Duke criteria).</t>
  </si>
  <si>
    <t>Patients who underwent surgery for IE defined by the modified Duke criteria</t>
  </si>
  <si>
    <t>Patients with native valve endocarditis (NVE) or prosthesis valve endocarditis (PVE) operated.</t>
  </si>
  <si>
    <t>Patients who underwent surgery for IE defined by the modified Duke criteria.</t>
  </si>
  <si>
    <t>Patients with definite, left-sided IE in the active phase of the disease who underwent surgery.</t>
  </si>
  <si>
    <t>Patients who requiring cardiac surgery during the active phase of infection (while on antimicrobial therapy).</t>
  </si>
  <si>
    <t>2.7 Criteria exclusion</t>
  </si>
  <si>
    <t>Sites were excluded if data were missing on age, gender, status of surgery, cardiogenic shock , and endocarditis type. And if more than 20% of patients had no complication information reported.</t>
  </si>
  <si>
    <t>Infective Endocarditis of prosthetic valves</t>
  </si>
  <si>
    <t>Patients with right-sided IE, left-sided IE without surgical indications and those with a surgical indication that were not surgical candidates.</t>
  </si>
  <si>
    <t>IE cases exclusively involving pacemaker leads were not considered. Only the first episode of IE recorded for an individual patient was used.</t>
  </si>
  <si>
    <t>2.8 Participant description</t>
  </si>
  <si>
    <t>Characteristics</t>
  </si>
  <si>
    <t>Values</t>
  </si>
  <si>
    <t>Measures</t>
  </si>
  <si>
    <t>Age of participants</t>
  </si>
  <si>
    <t>55 (46;66)</t>
  </si>
  <si>
    <t>Median (IQR)</t>
  </si>
  <si>
    <t>49 (16)</t>
  </si>
  <si>
    <t>Mean (sd)</t>
  </si>
  <si>
    <t>61.4 (15.5)</t>
  </si>
  <si>
    <t>60 (47;70)</t>
  </si>
  <si>
    <t>59.1 (15.4)</t>
  </si>
  <si>
    <t>59.6 (15.1)</t>
  </si>
  <si>
    <t>60.6 (8.5)</t>
  </si>
  <si>
    <t>62 (14)</t>
  </si>
  <si>
    <t>58 (15.1)</t>
  </si>
  <si>
    <t>Native valve endocarditis</t>
  </si>
  <si>
    <t>440 (100)</t>
  </si>
  <si>
    <t>n (%)</t>
  </si>
  <si>
    <t>267 (61.1)</t>
  </si>
  <si>
    <t>94 (73.4)</t>
  </si>
  <si>
    <t>285 (78.9)</t>
  </si>
  <si>
    <t>2.221 (82)</t>
  </si>
  <si>
    <t>103 (74.6)</t>
  </si>
  <si>
    <t>259 (61.1)</t>
  </si>
  <si>
    <t>Valve affected</t>
  </si>
  <si>
    <t>All</t>
  </si>
  <si>
    <t>Other</t>
  </si>
  <si>
    <t>Aortic / Mitral</t>
  </si>
  <si>
    <t>3. Outcome to be predicted</t>
  </si>
  <si>
    <t>3.1 Outcome</t>
  </si>
  <si>
    <t>In-hospital or 30 days mortality</t>
  </si>
  <si>
    <t>In-hospital mortality or 30 days mortality</t>
  </si>
  <si>
    <t>In-hospital mortality</t>
  </si>
  <si>
    <t>30 days mortality</t>
  </si>
  <si>
    <t>3.2 Outcome definition</t>
  </si>
  <si>
    <t>Death occurring before discharge or within 30 days of surgery.</t>
  </si>
  <si>
    <t>30-day death or in hospital death</t>
  </si>
  <si>
    <t>Operative mortality ocurring during the admission</t>
  </si>
  <si>
    <t>at 30 days or during the index hospitalization</t>
  </si>
  <si>
    <t>In-hospital death</t>
  </si>
  <si>
    <t>Death by 30 days after surgery due to any cause</t>
  </si>
  <si>
    <t>In-hospital postsurgery mortality</t>
  </si>
  <si>
    <t>Death ocurring after surgery and before discharge, regardless of its cause.</t>
  </si>
  <si>
    <t>Death occurring within the first 30 days after cardiac surgery.</t>
  </si>
  <si>
    <t>3.3 Same outcome definition for all participants</t>
  </si>
  <si>
    <t>Yes</t>
  </si>
  <si>
    <t>3.4 Type of outcome</t>
  </si>
  <si>
    <t>Single</t>
  </si>
  <si>
    <t>3.5 Was the outcome assessed without knowledge of the predictors?</t>
  </si>
  <si>
    <t>3.6 Were candidate predictors part of outcome?</t>
  </si>
  <si>
    <t>No</t>
  </si>
  <si>
    <t>3.7 Time of outcome ocurrence</t>
  </si>
  <si>
    <t>30 days or lenght of hospital stay</t>
  </si>
  <si>
    <t>Lenght of hospital stay</t>
  </si>
  <si>
    <t>30 days</t>
  </si>
  <si>
    <t>4. Candidate predictors</t>
  </si>
  <si>
    <t>4.1 Number of candidate predictors (or parameters) assessed</t>
  </si>
  <si>
    <t>4.2 Type of predictors</t>
  </si>
  <si>
    <t>Patient, surgery and IE related factors</t>
  </si>
  <si>
    <t>Patient and IE related factors</t>
  </si>
  <si>
    <t>Patient related factors</t>
  </si>
  <si>
    <t>Patients and surgery related factors</t>
  </si>
  <si>
    <t>4.3 Timing of predictors measurement</t>
  </si>
  <si>
    <t>Pre-operative</t>
  </si>
  <si>
    <t>pre-operative</t>
  </si>
  <si>
    <t>4.4 Predictors definition and measurement similar for all participants</t>
  </si>
  <si>
    <t>4.5 Were predictors assessed blinded for outcome?</t>
  </si>
  <si>
    <t>4.6 Handling of continuous predictors</t>
  </si>
  <si>
    <t>Dichotomization</t>
  </si>
  <si>
    <t>Restricted cubic spline function or categorization</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</si>
  <si>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</si>
  <si>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</si>
  <si>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</si>
  <si>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</si>
  <si>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</si>
  <si>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</si>
  <si>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</si>
  <si>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Complete-case analysis</t>
  </si>
  <si>
    <t>7. Model development</t>
  </si>
  <si>
    <t>7.1 Modelling method</t>
  </si>
  <si>
    <t>Logistic GEE regression</t>
  </si>
  <si>
    <t>Logistic regression</t>
  </si>
  <si>
    <t xml:space="preserve">7.2 Method for selection of candidate predictors </t>
  </si>
  <si>
    <t>Based on univariable associations</t>
  </si>
  <si>
    <t>Based on univariable associations and clinical relevance</t>
  </si>
  <si>
    <t>Based on prior knowledge</t>
  </si>
  <si>
    <t>7.3 Method for selection of predictors during multivariable modelling</t>
  </si>
  <si>
    <t>Stepwise selection</t>
  </si>
  <si>
    <t>Backward elimination</t>
  </si>
  <si>
    <t>Bootstrap selection</t>
  </si>
  <si>
    <t>7.4 Shrinkage of predictor weights or regression coefficients</t>
  </si>
  <si>
    <t>8. Model performance</t>
  </si>
  <si>
    <t>8.1 Calibration measures</t>
  </si>
  <si>
    <t>8.1.1 Calibration plot</t>
  </si>
  <si>
    <t>8.1.2 Calibration slope</t>
  </si>
  <si>
    <t>value (95% CI):</t>
  </si>
  <si>
    <t>0.93 (0.92 to 0.93)</t>
  </si>
  <si>
    <t>0.93 (0.92 to 0.94)</t>
  </si>
  <si>
    <t>8.1.3 Calibration-in-the-large (CITL)</t>
  </si>
  <si>
    <t>-0.06 (-0.07 to -0.05)</t>
  </si>
  <si>
    <t>-0.05 (-0.06 to -0.04)</t>
  </si>
  <si>
    <t>8.1.4 Hosmer-Lemeshow test</t>
  </si>
  <si>
    <t>8.1.5 Other</t>
  </si>
  <si>
    <t>Specify:</t>
  </si>
  <si>
    <t>Comparison of actual CITL and slope with the ideal values</t>
  </si>
  <si>
    <t>8.2 Discrimination measures</t>
  </si>
  <si>
    <t>8.2.1 C-Statistic</t>
  </si>
  <si>
    <t>0.88 (0.82 to 0.93)</t>
  </si>
  <si>
    <t>0.84 (0.79 to 0.88)</t>
  </si>
  <si>
    <t>0.87 (0.79 to 0.94)</t>
  </si>
  <si>
    <t>0.72 (0.64 to 0.78)</t>
  </si>
  <si>
    <t>0.69 (0.61 to 0.76)</t>
  </si>
  <si>
    <t>0.85 (0.84 to 0.86)</t>
  </si>
  <si>
    <t>0.83 (0.75 to 0.89)</t>
  </si>
  <si>
    <t>0.76 (0.64 to 0.88)</t>
  </si>
  <si>
    <t>0.77 (0.74 to 0.81)</t>
  </si>
  <si>
    <t>0.77 (0.73 to 0.81)</t>
  </si>
  <si>
    <t>8.2.2 D-Statistic</t>
  </si>
  <si>
    <t>8.2.3 AUC graph</t>
  </si>
  <si>
    <t>8.2.4 Log-rank test (if survival analysis)</t>
  </si>
  <si>
    <t>Not applicable</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</si>
  <si>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</si>
  <si>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</si>
  <si>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</si>
  <si>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</si>
  <si>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</si>
  <si>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0.065 (0.057 to 0.072)</t>
  </si>
  <si>
    <t xml:space="preserve">8.3.3 Other </t>
  </si>
  <si>
    <t>8.4 Clinical utility</t>
  </si>
  <si>
    <t>8.4.1 Decision Curve Analysis (DCA)</t>
  </si>
  <si>
    <t>8.4.2 Other</t>
  </si>
  <si>
    <t>9. Model evaluation</t>
  </si>
  <si>
    <t>9.1 Method used for testing model performance</t>
  </si>
  <si>
    <t>9.1.1 Internal validation</t>
  </si>
  <si>
    <t>Random split data</t>
  </si>
  <si>
    <t>None (Apparent performance)</t>
  </si>
  <si>
    <t>Bootstrap</t>
  </si>
  <si>
    <t>9.1.2 External validation</t>
  </si>
  <si>
    <t>None</t>
  </si>
  <si>
    <t>Geographical</t>
  </si>
  <si>
    <t>9.2 In case of poor validation, whether model was adjusted or updated</t>
  </si>
  <si>
    <t>10. Results</t>
  </si>
  <si>
    <t>10.1 Number of predictors (or parameters) included in final model</t>
  </si>
  <si>
    <t>10.2 Final model included predictor weights or regression coefficients</t>
  </si>
  <si>
    <t>Regression coefficients</t>
  </si>
  <si>
    <t>Predictor weights</t>
  </si>
  <si>
    <t>10.3 Final model included intercept (or baseline survival)</t>
  </si>
  <si>
    <t>10.4 Alternative presentation of the final prediction models</t>
  </si>
  <si>
    <t>Score system</t>
  </si>
  <si>
    <t>Nomogram</t>
  </si>
  <si>
    <t>11. Interpretation</t>
  </si>
  <si>
    <t>11.1 Interpretation of presented model</t>
  </si>
  <si>
    <t>The risk scoring system informs patient selection, provides risk stratification, and allows communication with patients and other physicians.</t>
  </si>
  <si>
    <t>Our score may serve to this scope, provided that it will be validated in other larger series, possibly in multicentric design.</t>
  </si>
  <si>
    <t>The PALSUSE score could help to identify patients with higher in-hospital mortality following IE surgery.</t>
  </si>
  <si>
    <t>-</t>
  </si>
  <si>
    <t>Further larger validation studies are necessary before introducing the AEPEI score into the clinical practice.</t>
  </si>
  <si>
    <t>GIROC provides a logistic risk model to predict early mortality in patients with heart valve or prosthesis IE undergoing surgery.</t>
  </si>
  <si>
    <t>ANCLA score could aid a rapid and reliable framing of the patient with IE. Further large validation studies are necessary.</t>
  </si>
  <si>
    <t>This risk-scoring model should be a useful tool for clinical decision-making, providing more accurate information to patients and their families.</t>
  </si>
  <si>
    <t>We suggest that a new risk score based on EuroSCORE I should be used for prospective validation.</t>
  </si>
  <si>
    <t>12. Observations</t>
  </si>
  <si>
    <t xml:space="preserve">12.1 Data extraction process </t>
  </si>
  <si>
    <t>12.2 Additional information</t>
  </si>
  <si>
    <t>Modelling method was Logistic mixed effect model</t>
  </si>
  <si>
    <t>Source of was a combination beetwen a retrospective cohort from Italy and a existing registry from France.</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</si>
  <si>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</si>
  <si>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</si>
  <si>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</si>
  <si>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</si>
  <si>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</si>
  <si>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</si>
  <si>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Probably Yes</t>
  </si>
  <si>
    <t>1.2 Were all inclusions and exclusions of participants appropriate?</t>
  </si>
  <si>
    <t>Probably No</t>
  </si>
  <si>
    <t>No Information</t>
  </si>
  <si>
    <t>Risk of bias introduced by selection of participants</t>
  </si>
  <si>
    <t>High RoB</t>
  </si>
  <si>
    <t>Low RoB</t>
  </si>
  <si>
    <t>Applicability</t>
  </si>
  <si>
    <t>Low concern</t>
  </si>
  <si>
    <t>High concern</t>
  </si>
  <si>
    <t>Relevant information extracted from CHARMS:</t>
  </si>
  <si>
    <t>Source of data</t>
  </si>
  <si>
    <t>Recruitment methods</t>
  </si>
  <si>
    <t>Recruitment dates</t>
  </si>
  <si>
    <t>Study setting</t>
  </si>
  <si>
    <t>Inclusion criteria</t>
  </si>
  <si>
    <t>Exclusion criteria</t>
  </si>
  <si>
    <t>Rationale of bias and applicability rating:</t>
  </si>
  <si>
    <t>Excluding complete sites if data were missing in some variables, likely to have introduced bias but it is less important than to exclude individual participants.</t>
  </si>
  <si>
    <t>The model was developed in a subgroup of patients. These participants represent a selected lower (or higher) risk sample of the original.</t>
  </si>
  <si>
    <t>No information about recruitment methods and exclusion criteria.</t>
  </si>
  <si>
    <t>The model was developed using only data from 2008 in France, because the data collection was particularly exhaustive, comprehensive, and accurate, we did not consider it could introduce bias.</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</si>
  <si>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</si>
  <si>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</si>
  <si>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</si>
  <si>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</si>
  <si>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</si>
  <si>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</si>
  <si>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</si>
  <si>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</si>
  <si>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Excluded complete sites if data were missing in some variables, likely to have introduced bias but less important than excluding individual participants.</t>
  </si>
  <si>
    <t>There were predictors assessed with subjective interpretation</t>
  </si>
  <si>
    <t>Systolic pulmonary artery pressure predictor could be hard to recovery.</t>
  </si>
  <si>
    <t>Databases were not homogeneous, but authors did an effort to homogenize it, we did not penalized the RoB. Systolic pulmonary artery pressure predictor could be hard to recovery.</t>
  </si>
  <si>
    <t>Databases were not homogeneous, but authors did an effort to homogenize it, we did not penalized the RoB.</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</si>
  <si>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</si>
  <si>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</si>
  <si>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</si>
  <si>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</si>
  <si>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</si>
  <si>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</si>
  <si>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</si>
  <si>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</si>
  <si>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</si>
  <si>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</si>
  <si>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</si>
  <si>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</si>
  <si>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</si>
  <si>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</si>
  <si>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</si>
  <si>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</si>
  <si>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</si>
  <si>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</si>
  <si>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</si>
  <si>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</si>
  <si>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</si>
  <si>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</si>
  <si>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</si>
  <si>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</si>
  <si>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</si>
  <si>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</si>
  <si>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</si>
  <si>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</si>
  <si>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</si>
  <si>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</si>
  <si>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</si>
  <si>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</si>
  <si>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</si>
  <si>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t>Large EPV (aprox. 30), but predictors selected based on univariable analysis, random split sample (D:70% and V:30%) and no inform how missing data were handled.</t>
  </si>
  <si>
    <t>Very small EPV, continuous predictors no handled apropiately, probably using complete data and only apparent validation available.</t>
  </si>
  <si>
    <t>EPP not available, no informed about missing data, continuous predictors dichotomized and apparent performance.</t>
  </si>
  <si>
    <t>Very small EPP and apparent validation.</t>
  </si>
  <si>
    <t>Very small EPP, predictors selected based on univariable analysis and continuous predictors categorized based on the best discriminative performance.</t>
  </si>
  <si>
    <t>Predictors were selected based on univariable analysis (p&lt;0.2). Although EPP was sufficiently large and model performance was optimism adjusted, unfortunately calibration measures were tested but not reported, thus we rated it as unclear RoB.</t>
  </si>
  <si>
    <t>Very small EPP and random splitting validation (D:70% and V:30%) and did not inform neither missing data nor continuous predictors were handled.</t>
  </si>
  <si>
    <t>EPP was slightly lower than required but were not univariable selection and model performance was optimism adjusted by bootstrap validation. The complete data analysis were not worrying because only 4 (0.5%) patients were excluded. We did not penalized RoB.</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</si>
  <si>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</si>
  <si>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</si>
  <si>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</si>
  <si>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</si>
  <si>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</si>
  <si>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</si>
  <si>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</si>
  <si>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</si>
  <si>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</si>
  <si>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</si>
  <si>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</si>
  <si>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</si>
  <si>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</si>
  <si>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</si>
  <si>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</si>
  <si>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</si>
  <si>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</si>
  <si>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</si>
  <si>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</si>
  <si>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</si>
  <si>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</si>
  <si>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</si>
  <si>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</si>
  <si>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</si>
  <si>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</si>
  <si>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</si>
  <si>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</si>
  <si>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</si>
  <si>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</si>
  <si>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</si>
  <si>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</si>
  <si>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</si>
  <si>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CHARMS sheet</t>
  </si>
  <si>
    <t>2.8 Participant description (Measures)</t>
  </si>
  <si>
    <t>7.2 Method for selection of candidate predictors</t>
  </si>
  <si>
    <t>Prospective cohort</t>
  </si>
  <si>
    <t>Mean</t>
  </si>
  <si>
    <t>All available predictors</t>
  </si>
  <si>
    <t>Pre-specified model (not selection)</t>
  </si>
  <si>
    <t>Combined</t>
  </si>
  <si>
    <t>Single imputation</t>
  </si>
  <si>
    <t>Multilevel logistic regression</t>
  </si>
  <si>
    <t>Temporal</t>
  </si>
  <si>
    <t>Sum score</t>
  </si>
  <si>
    <t>Case-control</t>
  </si>
  <si>
    <t>Median</t>
  </si>
  <si>
    <t>Multiple imputation</t>
  </si>
  <si>
    <t>Cox regression</t>
  </si>
  <si>
    <t>Forward selection</t>
  </si>
  <si>
    <t>Non-random split data</t>
  </si>
  <si>
    <t>Nested case-control</t>
  </si>
  <si>
    <t>Machine learning techniques</t>
  </si>
  <si>
    <t>Cross-validation</t>
  </si>
  <si>
    <t>Different setting</t>
  </si>
  <si>
    <t>Score chart</t>
  </si>
  <si>
    <t>Median (min-max)</t>
  </si>
  <si>
    <t>(Add field)</t>
  </si>
  <si>
    <t>Neural network</t>
  </si>
  <si>
    <t>LASSO selection</t>
  </si>
  <si>
    <t>Different investigator</t>
  </si>
  <si>
    <t>Randomized trial</t>
  </si>
  <si>
    <t>Ridge regression</t>
  </si>
  <si>
    <t>Completely independent</t>
  </si>
  <si>
    <t>On-line calculator</t>
  </si>
  <si>
    <t>Combined data (e.g. IPD of combination of cohorts)</t>
  </si>
  <si>
    <t>App calculator</t>
  </si>
  <si>
    <t>Aggregated data</t>
  </si>
  <si>
    <t>Drop-down lists for CHARMS</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</si>
  <si>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</si>
  <si>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</si>
  <si>
    <t>Fernández-Hidalgo (b)</t>
  </si>
  <si>
    <t>Jill M. Brooks</t>
  </si>
  <si>
    <t>autoencoder</t>
  </si>
  <si>
    <t>Cheng-Peng Gui</t>
  </si>
  <si>
    <t>Yifan Liu</t>
  </si>
  <si>
    <t xml:space="preserve">LASSO Cox regression </t>
  </si>
  <si>
    <t>Jia Li</t>
  </si>
  <si>
    <r>
      <t>Run Shi</t>
    </r>
    <r>
      <rPr>
        <sz val="9"/>
        <color rgb="FF5B616B"/>
        <rFont val="Segoe UI"/>
        <family val="2"/>
      </rPr>
      <t> </t>
    </r>
  </si>
  <si>
    <t>LASSO Cox algorithm</t>
  </si>
  <si>
    <t>Jun Shao</t>
  </si>
  <si>
    <t>Baohui Zhang</t>
  </si>
  <si>
    <t>Qiangnu Zhang</t>
  </si>
  <si>
    <t>Fanhong Zeng</t>
  </si>
  <si>
    <t>Brian Lane</t>
  </si>
  <si>
    <t>Ke Wang</t>
  </si>
  <si>
    <t>Dongjie Chen</t>
  </si>
  <si>
    <t>Yanhong Shou</t>
  </si>
  <si>
    <t>Xiangqian Zhang</t>
  </si>
  <si>
    <t>Chenyu Nie</t>
  </si>
  <si>
    <t>Jinman Zhong</t>
  </si>
  <si>
    <t>Xia Yang</t>
  </si>
  <si>
    <t>unsupervised clustering</t>
  </si>
  <si>
    <t>t-SNE and Lasso</t>
  </si>
  <si>
    <t>random forest</t>
  </si>
  <si>
    <t xml:space="preserve">LASSO </t>
  </si>
  <si>
    <t>Kmean</t>
  </si>
  <si>
    <t>LASSO Cox regression</t>
  </si>
  <si>
    <t>Edian F. Franco</t>
  </si>
  <si>
    <t>Xiong Tian</t>
  </si>
  <si>
    <t>LASSO Cox Regression</t>
  </si>
  <si>
    <t>X1</t>
  </si>
  <si>
    <t>X 2</t>
  </si>
  <si>
    <t>x 3</t>
  </si>
  <si>
    <t>X 4</t>
  </si>
  <si>
    <t>x 5</t>
  </si>
  <si>
    <t xml:space="preserve">LASSO regression </t>
  </si>
  <si>
    <t>x6</t>
  </si>
  <si>
    <t>X7</t>
  </si>
  <si>
    <t>t-SNE and Lasso Cox Regression</t>
  </si>
  <si>
    <t>Zhi Liu (21) X7</t>
  </si>
  <si>
    <t>X8</t>
  </si>
  <si>
    <t>x9</t>
  </si>
  <si>
    <t>X10</t>
  </si>
  <si>
    <t>x11</t>
  </si>
  <si>
    <t>x12</t>
  </si>
  <si>
    <t xml:space="preserve"> LASSO Cox regression </t>
  </si>
  <si>
    <t>K-mean</t>
  </si>
  <si>
    <t>X13</t>
  </si>
  <si>
    <t>LASSO</t>
  </si>
  <si>
    <t>X14</t>
  </si>
  <si>
    <t>X15</t>
  </si>
  <si>
    <t>X16</t>
  </si>
  <si>
    <t>mixing use of lasso and lasso cox, 16 claim to be lasso cox but actually lasso</t>
  </si>
  <si>
    <t>X17</t>
  </si>
  <si>
    <t>x18</t>
  </si>
  <si>
    <t>X19</t>
  </si>
  <si>
    <t>First Author</t>
  </si>
  <si>
    <t>Publication Year</t>
  </si>
  <si>
    <t>Methods</t>
  </si>
  <si>
    <t>Run Shi </t>
  </si>
  <si>
    <t>Unsupervised Hierarchical Clustering</t>
  </si>
  <si>
    <t>Random Forest</t>
  </si>
  <si>
    <t xml:space="preserve">K-mean and LASSO Cox regression </t>
  </si>
  <si>
    <t>K-mean and LASSO Cox Regression</t>
  </si>
  <si>
    <t>LUAD</t>
  </si>
  <si>
    <t>HNC</t>
  </si>
  <si>
    <t>crCC</t>
  </si>
  <si>
    <t>breast cancer</t>
  </si>
  <si>
    <t>LUDA</t>
  </si>
  <si>
    <t>HCC</t>
  </si>
  <si>
    <t>GBM</t>
  </si>
  <si>
    <t>PAAD</t>
  </si>
  <si>
    <t>PDAC</t>
  </si>
  <si>
    <t>melanoma</t>
  </si>
  <si>
    <t>Gastric Cancer</t>
  </si>
  <si>
    <t>cervical cancer</t>
  </si>
  <si>
    <t>AML</t>
  </si>
  <si>
    <t>Tumour</t>
  </si>
  <si>
    <t>BLCA</t>
  </si>
  <si>
    <t>/</t>
  </si>
  <si>
    <t>ccRCC</t>
  </si>
  <si>
    <t>Zhi Liu</t>
  </si>
  <si>
    <t>Melanoma</t>
  </si>
  <si>
    <t>Breast Cancer</t>
  </si>
  <si>
    <t>Cervical Cancer</t>
  </si>
  <si>
    <t>Autoencoder</t>
  </si>
  <si>
    <t>k-mean and LASSO Cox Regression</t>
  </si>
  <si>
    <t>t-SNE and LASSO</t>
  </si>
  <si>
    <t>t-SNE and LASSO Cox Regression</t>
  </si>
  <si>
    <t>UHC</t>
  </si>
  <si>
    <t>CP,SLC2A3,SPAG4,WISP2,CYP26A1,YPEL1,RNF24,PGK1,NDRG1,BNIP3L,DLX4,PFKFB4,ERRFI1,LRP1,S1PR4,GAL3ST1,EGLN3,GUCY2D,BHLHE40,LDHA,RAB40B,EFNA3,PPFIA4,PNRC1,IGFBP3,IGFBP1,ADM,ANKZF1,CITED2,CASKIN1,DDIT4,PFKFB3,TMEM45A,SEMA4B,FUT11</t>
  </si>
  <si>
    <t>Zeng et al. 2021</t>
  </si>
  <si>
    <t xml:space="preserve">Zhang et al. 2020 </t>
  </si>
  <si>
    <t>Zhang et al. 2021</t>
  </si>
  <si>
    <t>Shi et al. 2021</t>
  </si>
  <si>
    <t>Lane et al. 2022</t>
  </si>
  <si>
    <t>Shao et al. 2021</t>
  </si>
  <si>
    <t>Signature</t>
  </si>
  <si>
    <t>DCN, DDIT4, NDRG1, PRKCA</t>
  </si>
  <si>
    <t>ADM,BNIP3,BNIP3L,CA9,EGLN3,GDF15,GYS1,HCAR3,HILPDA,HK2,INSIG2,JUN,KDM3A,PFKFB4,PLIN2,PTPRH,SLC2A3,SMAD3,SPAG4,TMEM45A,WSB1</t>
  </si>
  <si>
    <t>PDSS1、SLC7A11、CDCA8</t>
  </si>
  <si>
    <t>CHST15, KLK6, TUBB3, TCEA3 SLC25A38, AQP7, GNMT, STX19, UQCR10,CXorf23</t>
  </si>
  <si>
    <t>LINC00941,AC022784.1,AC079949.2,AC090001.1,LINC00707,AL161431.1,AC010980.2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</si>
</sst>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0"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
      <u/>
      <sz val="9"/>
      <color theme="1"/>
      <name val="Arial"/>
      <family val="2"/>
    </font>
    <font>
      <b/>
      <sz val="16.5"/>
      <color rgb="FF000000"/>
      <name val="Arial"/>
      <family val="2"/>
    </font>
    <font>
      <b/>
      <sz val="24"/>
      <color rgb="FF212121"/>
      <name val="Georgia"/>
      <family val="1"/>
    </font>
    <font>
      <sz val="12"/>
      <color rgb="FF205493"/>
      <name val="Segoe UI"/>
      <family val="2"/>
    </font>
    <font>
      <sz val="7.5"/>
      <color rgb="FF000000"/>
      <name val="Segoe UI"/>
      <family val="2"/>
    </font>
    <font>
      <b/>
      <sz val="24"/>
      <color rgb="FF1B3051"/>
      <name val="Trebuchet MS"/>
      <family val="2"/>
    </font>
    <font>
      <sz val="12"/>
      <color rgb="FF004B83"/>
      <name val="Segoe UI"/>
      <family val="2"/>
    </font>
    <font>
      <sz val="7.5"/>
      <color theme="1"/>
      <name val="DengXian"/>
      <charset val="134"/>
    </font>
    <font>
      <sz val="24"/>
      <color rgb="FFFFFFFF"/>
      <name val="Source Sans Pro"/>
      <family val="2"/>
    </font>
    <font>
      <sz val="12"/>
      <color rgb="FF0071BC"/>
      <name val="Segoe UI"/>
      <family val="2"/>
    </font>
    <font>
      <sz val="9"/>
      <color rgb="FF5B616B"/>
      <name val="Segoe UI"/>
      <family val="2"/>
    </font>
    <font>
      <sz val="10.5"/>
      <color theme="1"/>
      <name val="DengXian"/>
      <charset val="134"/>
    </font>
    <font>
      <u/>
      <sz val="12"/>
      <color rgb="FF205493"/>
      <name val="Arial"/>
      <family val="2"/>
    </font>
    <font>
      <sz val="12"/>
      <color theme="1"/>
      <name val="Segoe UI"/>
      <family val="2"/>
    </font>
    <font>
      <sz val="12"/>
      <color rgb="FF212121"/>
      <name val="Segoe UI"/>
      <family val="2"/>
    </font>
    <font>
      <sz val="11"/>
      <color rgb="FF000000"/>
      <name val="Calibri"/>
      <family val="2"/>
      <scheme val="minor"/>
    </font>
    <font>
      <sz val="10.5"/>
      <color theme="1"/>
      <name val="Calibri"/>
      <family val="2"/>
      <scheme val="minor"/>
    </font>
    <font>
      <sz val="10"/>
      <color rgb="FF2F2F2F"/>
      <name val="Verdana"/>
      <family val="2"/>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41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34"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0" fontId="31" fillId="0" borderId="106" xfId="0" applyFont="1" applyBorder="1" applyAlignment="1" applyProtection="1">
      <alignment horizontal="left" vertical="center" indent="1"/>
      <protection hidden="1"/>
    </xf>
    <xf numFmtId="0" fontId="31" fillId="0" borderId="105" xfId="0" applyFont="1" applyBorder="1" applyAlignment="1" applyProtection="1">
      <alignment horizontal="left" vertical="center" indent="1"/>
      <protection hidden="1"/>
    </xf>
    <xf numFmtId="0" fontId="17" fillId="0" borderId="34" xfId="0" applyFont="1" applyBorder="1" applyAlignment="1" applyProtection="1">
      <alignment horizontal="left" vertical="center" wrapText="1"/>
      <protection locked="0"/>
    </xf>
    <xf numFmtId="0" fontId="52" fillId="0" borderId="34" xfId="0" applyFont="1" applyBorder="1" applyAlignment="1" applyProtection="1">
      <alignment vertical="center"/>
      <protection locked="0"/>
    </xf>
    <xf numFmtId="0" fontId="53" fillId="0" borderId="34" xfId="0" applyFont="1" applyBorder="1" applyAlignment="1" applyProtection="1">
      <alignment horizontal="left" vertical="center" wrapText="1"/>
      <protection locked="0"/>
    </xf>
    <xf numFmtId="0" fontId="54" fillId="0" borderId="34" xfId="0" applyFont="1" applyBorder="1" applyAlignment="1" applyProtection="1">
      <alignment horizontal="left" vertical="center" wrapText="1"/>
      <protection locked="0"/>
    </xf>
    <xf numFmtId="0" fontId="55" fillId="0" borderId="34" xfId="0" applyFont="1" applyBorder="1" applyAlignment="1" applyProtection="1">
      <alignment vertical="center"/>
      <protection locked="0"/>
    </xf>
    <xf numFmtId="0" fontId="56" fillId="0" borderId="34" xfId="0" applyFont="1" applyBorder="1" applyAlignment="1" applyProtection="1">
      <alignment horizontal="left" vertical="center"/>
      <protection locked="0"/>
    </xf>
    <xf numFmtId="0" fontId="57" fillId="0" borderId="34" xfId="0" applyFont="1" applyBorder="1" applyAlignment="1" applyProtection="1">
      <alignment horizontal="left" vertical="center" wrapText="1"/>
      <protection locked="0"/>
    </xf>
    <xf numFmtId="0" fontId="58" fillId="0" borderId="34" xfId="0" applyFont="1" applyBorder="1" applyAlignment="1" applyProtection="1">
      <alignment vertical="center"/>
      <protection locked="0"/>
    </xf>
    <xf numFmtId="0" fontId="59" fillId="0" borderId="34" xfId="0" applyFont="1" applyBorder="1" applyAlignment="1" applyProtection="1">
      <alignment horizontal="left" vertical="center"/>
      <protection locked="0"/>
    </xf>
    <xf numFmtId="0" fontId="60" fillId="0" borderId="34" xfId="0" applyFont="1" applyBorder="1" applyAlignment="1" applyProtection="1">
      <alignment horizontal="left" vertical="center" wrapText="1"/>
      <protection locked="0"/>
    </xf>
    <xf numFmtId="0" fontId="61" fillId="0" borderId="34" xfId="0" applyFont="1" applyBorder="1" applyAlignment="1" applyProtection="1">
      <alignment vertical="center"/>
      <protection locked="0"/>
    </xf>
    <xf numFmtId="0" fontId="63" fillId="0" borderId="34" xfId="0" applyFont="1" applyBorder="1" applyAlignment="1" applyProtection="1">
      <alignment horizontal="left" vertical="center"/>
      <protection locked="0"/>
    </xf>
    <xf numFmtId="0" fontId="0" fillId="0" borderId="34" xfId="0" applyBorder="1" applyAlignment="1" applyProtection="1">
      <alignment horizontal="left" vertical="center"/>
      <protection locked="0"/>
    </xf>
    <xf numFmtId="0" fontId="64" fillId="0" borderId="34" xfId="0" applyFont="1" applyBorder="1" applyAlignment="1" applyProtection="1">
      <alignment vertical="center"/>
      <protection locked="0"/>
    </xf>
    <xf numFmtId="0" fontId="65" fillId="0" borderId="34" xfId="0" applyFont="1" applyBorder="1" applyAlignment="1" applyProtection="1">
      <alignment horizontal="left" vertical="center"/>
      <protection locked="0"/>
    </xf>
    <xf numFmtId="0" fontId="0" fillId="0" borderId="0" xfId="0" applyProtection="1">
      <protection locked="0"/>
    </xf>
    <xf numFmtId="0" fontId="0" fillId="0" borderId="63" xfId="0" applyBorder="1" applyAlignment="1">
      <alignment vertical="center"/>
    </xf>
    <xf numFmtId="0" fontId="0" fillId="0" borderId="65" xfId="0" applyBorder="1" applyAlignment="1">
      <alignment vertical="center"/>
    </xf>
    <xf numFmtId="0" fontId="59" fillId="0" borderId="0" xfId="0" applyFont="1" applyAlignment="1">
      <alignment horizontal="left" vertical="center"/>
    </xf>
    <xf numFmtId="0" fontId="59" fillId="0" borderId="0" xfId="0" applyFont="1"/>
    <xf numFmtId="0" fontId="66" fillId="0" borderId="0" xfId="0" applyFont="1"/>
    <xf numFmtId="0" fontId="67" fillId="0" borderId="65" xfId="0" applyFont="1" applyBorder="1" applyAlignment="1">
      <alignment vertical="center"/>
    </xf>
    <xf numFmtId="0" fontId="0" fillId="6" borderId="122" xfId="0" applyFill="1" applyBorder="1" applyAlignment="1">
      <alignment horizontal="left" wrapText="1"/>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1" fillId="0" borderId="0" xfId="0" applyFont="1" applyAlignment="1">
      <alignment horizontal="left"/>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10" fillId="0" borderId="47" xfId="0" applyFont="1" applyBorder="1" applyAlignment="1" applyProtection="1">
      <alignment horizontal="center" vertical="center" wrapText="1"/>
      <protection hidden="1"/>
    </xf>
    <xf numFmtId="0" fontId="10" fillId="0" borderId="44" xfId="0" applyFont="1" applyBorder="1" applyAlignment="1" applyProtection="1">
      <alignment horizontal="center" vertical="center" wrapText="1"/>
      <protection hidden="1"/>
    </xf>
    <xf numFmtId="0" fontId="10" fillId="0" borderId="48" xfId="0" applyFont="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8" fillId="3" borderId="28" xfId="0" applyFont="1" applyFill="1" applyBorder="1" applyAlignment="1" applyProtection="1">
      <alignment horizontal="center" vertical="center" wrapText="1"/>
      <protection hidden="1"/>
    </xf>
    <xf numFmtId="0" fontId="18" fillId="3" borderId="27"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8" xfId="0" applyFont="1" applyBorder="1" applyAlignment="1" applyProtection="1">
      <alignment horizontal="center" vertical="top" wrapText="1"/>
      <protection hidden="1"/>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0" borderId="51"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 fillId="4" borderId="24" xfId="0" applyFont="1" applyFill="1" applyBorder="1" applyAlignment="1" applyProtection="1">
      <alignment horizontal="left" vertical="center" indent="3"/>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0" borderId="11"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3" fontId="31" fillId="0" borderId="64" xfId="0" applyNumberFormat="1" applyFont="1" applyBorder="1" applyAlignment="1" applyProtection="1">
      <alignment horizontal="center" vertical="center" wrapText="1"/>
      <protection hidden="1"/>
    </xf>
    <xf numFmtId="3" fontId="31" fillId="0" borderId="0" xfId="0" applyNumberFormat="1" applyFont="1" applyAlignment="1" applyProtection="1">
      <alignment horizontal="center" vertical="center" wrapText="1"/>
      <protection hidden="1"/>
    </xf>
    <xf numFmtId="0" fontId="29" fillId="0" borderId="0" xfId="0" applyFont="1" applyAlignment="1" applyProtection="1">
      <alignment horizontal="center" vertical="center"/>
      <protection hidden="1"/>
    </xf>
    <xf numFmtId="0" fontId="31" fillId="0" borderId="64" xfId="0" applyFont="1" applyBorder="1" applyAlignment="1" applyProtection="1">
      <alignment horizontal="left" vertical="center" wrapText="1" indent="1"/>
      <protection hidden="1"/>
    </xf>
    <xf numFmtId="0" fontId="31" fillId="0" borderId="0" xfId="0" applyFont="1" applyAlignment="1" applyProtection="1">
      <alignment horizontal="left" vertical="center" wrapText="1" indent="1"/>
      <protection hidden="1"/>
    </xf>
    <xf numFmtId="164" fontId="31" fillId="0" borderId="65" xfId="0" applyNumberFormat="1"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29" fillId="0" borderId="65" xfId="0" applyFont="1" applyBorder="1" applyAlignment="1" applyProtection="1">
      <alignment horizontal="center" vertical="center"/>
      <protection hidden="1"/>
    </xf>
    <xf numFmtId="0" fontId="31" fillId="0" borderId="65" xfId="0" applyFont="1" applyBorder="1" applyAlignment="1" applyProtection="1">
      <alignment horizontal="left" vertical="center" wrapText="1" indent="1"/>
      <protection hidden="1"/>
    </xf>
    <xf numFmtId="3" fontId="31" fillId="0" borderId="65" xfId="0" applyNumberFormat="1" applyFont="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xf numFmtId="0" fontId="68" fillId="0" borderId="131" xfId="0" applyFont="1" applyBorder="1" applyAlignment="1">
      <alignment vertical="center" wrapText="1"/>
    </xf>
    <xf numFmtId="0" fontId="68" fillId="0" borderId="132" xfId="0" applyFont="1" applyBorder="1" applyAlignment="1">
      <alignment vertical="center" wrapText="1"/>
    </xf>
    <xf numFmtId="0" fontId="68" fillId="0" borderId="98" xfId="0" applyFont="1" applyBorder="1" applyAlignment="1">
      <alignment vertical="center" wrapText="1"/>
    </xf>
    <xf numFmtId="0" fontId="69" fillId="0" borderId="0" xfId="0" applyFont="1"/>
  </cellXfs>
  <cellStyles count="3">
    <cellStyle name="Hyperlink" xfId="2" builtinId="8"/>
    <cellStyle name="Normal" xfId="0" builtinId="0"/>
    <cellStyle name="Percent" xfId="1" builtinId="5"/>
  </cellStyles>
  <dxfs count="702">
    <dxf>
      <font>
        <b val="0"/>
        <i/>
        <color theme="0" tint="-0.24994659260841701"/>
      </font>
      <fill>
        <patternFill patternType="none">
          <bgColor auto="1"/>
        </patternFill>
      </fill>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border>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0"/>
        </patternFill>
      </fill>
      <border>
        <top style="thin">
          <color theme="0" tint="-0.24994659260841701"/>
        </top>
      </border>
    </dxf>
    <dxf>
      <font>
        <b/>
        <i val="0"/>
        <color rgb="FF9C0006"/>
      </font>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8" tint="0.79998168889431442"/>
      </font>
      <fill>
        <patternFill>
          <bgColor theme="8" tint="0.79998168889431442"/>
        </patternFill>
      </fill>
    </dxf>
    <dxf>
      <fill>
        <patternFill>
          <bgColor theme="7" tint="0.79998168889431442"/>
        </patternFill>
      </fill>
    </dxf>
    <dxf>
      <font>
        <color theme="8" tint="0.79998168889431442"/>
      </font>
      <fill>
        <patternFill>
          <bgColor theme="8"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ill>
        <patternFill>
          <bgColor theme="0"/>
        </patternFill>
      </fill>
    </dxf>
    <dxf>
      <font>
        <color theme="1"/>
      </font>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color auto="1"/>
      </font>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0"/>
      </font>
      <border>
        <bottom style="thin">
          <color theme="0"/>
        </bottom>
        <vertical/>
        <horizontal/>
      </border>
    </dxf>
    <dxf>
      <font>
        <color theme="0"/>
      </font>
      <border>
        <bottom style="thin">
          <color theme="0"/>
        </bottom>
        <vertical/>
        <horizontal/>
      </border>
    </dxf>
    <dxf>
      <font>
        <color theme="0"/>
      </font>
      <border>
        <bottom style="thin">
          <color theme="0"/>
        </bottom>
        <vertical/>
        <horizontal/>
      </border>
    </dxf>
    <dxf>
      <font>
        <color theme="0"/>
      </font>
      <border>
        <bottom style="thin">
          <color theme="0"/>
        </bottom>
        <vertical/>
        <horizontal/>
      </border>
    </dxf>
    <dxf>
      <font>
        <color theme="0"/>
      </font>
      <border>
        <bottom style="thin">
          <color theme="0"/>
        </bottom>
        <vertical/>
        <horizontal/>
      </border>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n-U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0%</c:formatCode>
                <c:ptCount val="5"/>
                <c:pt idx="0">
                  <c:v>0.65</c:v>
                </c:pt>
                <c:pt idx="1">
                  <c:v>0.8</c:v>
                </c:pt>
                <c:pt idx="2">
                  <c:v>0.9</c:v>
                </c:pt>
                <c:pt idx="3">
                  <c:v>0.7</c:v>
                </c:pt>
                <c:pt idx="4">
                  <c:v>0.45</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0%</c:formatCode>
                <c:ptCount val="5"/>
                <c:pt idx="0">
                  <c:v>0.3</c:v>
                </c:pt>
                <c:pt idx="1">
                  <c:v>0.1</c:v>
                </c:pt>
                <c:pt idx="2">
                  <c:v>0</c:v>
                </c:pt>
                <c:pt idx="3">
                  <c:v>0.1</c:v>
                </c:pt>
                <c:pt idx="4">
                  <c:v>0.4</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0%</c:formatCode>
                <c:ptCount val="5"/>
                <c:pt idx="0">
                  <c:v>4.9999999999999933E-2</c:v>
                </c:pt>
                <c:pt idx="1">
                  <c:v>9.9999999999999978E-2</c:v>
                </c:pt>
                <c:pt idx="2">
                  <c:v>9.9999999999999978E-2</c:v>
                </c:pt>
                <c:pt idx="3">
                  <c:v>0.20000000000000007</c:v>
                </c:pt>
                <c:pt idx="4">
                  <c:v>0.14999999999999997</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n-US"/>
          </a:p>
        </c:txPr>
        <c:crossAx val="360608192"/>
        <c:crosses val="autoZero"/>
        <c:auto val="1"/>
        <c:lblAlgn val="ctr"/>
        <c:lblOffset val="100"/>
        <c:noMultiLvlLbl val="0"/>
      </c:catAx>
      <c:valAx>
        <c:axId val="360608192"/>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n-U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0%</c:formatCode>
                <c:ptCount val="4"/>
                <c:pt idx="0">
                  <c:v>0.85</c:v>
                </c:pt>
                <c:pt idx="1">
                  <c:v>0.85</c:v>
                </c:pt>
                <c:pt idx="2">
                  <c:v>0.8</c:v>
                </c:pt>
                <c:pt idx="3">
                  <c:v>0.6</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0%</c:formatCode>
                <c:ptCount val="4"/>
                <c:pt idx="0">
                  <c:v>0.1</c:v>
                </c:pt>
                <c:pt idx="1">
                  <c:v>0.05</c:v>
                </c:pt>
                <c:pt idx="2">
                  <c:v>0.15</c:v>
                </c:pt>
                <c:pt idx="3">
                  <c:v>0.3</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0%</c:formatCode>
                <c:ptCount val="4"/>
                <c:pt idx="0">
                  <c:v>5.0000000000000044E-2</c:v>
                </c:pt>
                <c:pt idx="1">
                  <c:v>9.9999999999999978E-2</c:v>
                </c:pt>
                <c:pt idx="2">
                  <c:v>4.9999999999999933E-2</c:v>
                </c:pt>
                <c:pt idx="3">
                  <c:v>9.9999999999999978E-2</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n-U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SUMMARY!$B$7" lockText="1" noThreeD="1"/>
</file>

<file path=xl/ctrlProps/ctrlProp10.xml><?xml version="1.0" encoding="utf-8"?>
<formControlPr xmlns="http://schemas.microsoft.com/office/spreadsheetml/2009/9/main" objectType="CheckBox" checked="Checked" fmlaLink="SUMMARY!$B16" lockText="1" noThreeD="1"/>
</file>

<file path=xl/ctrlProps/ctrlProp11.xml><?xml version="1.0" encoding="utf-8"?>
<formControlPr xmlns="http://schemas.microsoft.com/office/spreadsheetml/2009/9/main" objectType="CheckBox" checked="Checked" fmlaLink="SUMMARY!$B17" lockText="1" noThreeD="1"/>
</file>

<file path=xl/ctrlProps/ctrlProp12.xml><?xml version="1.0" encoding="utf-8"?>
<formControlPr xmlns="http://schemas.microsoft.com/office/spreadsheetml/2009/9/main" objectType="CheckBox" checked="Checked" fmlaLink="SUMMARY!$B18" lockText="1" noThreeD="1"/>
</file>

<file path=xl/ctrlProps/ctrlProp13.xml><?xml version="1.0" encoding="utf-8"?>
<formControlPr xmlns="http://schemas.microsoft.com/office/spreadsheetml/2009/9/main" objectType="CheckBox" checked="Checked" fmlaLink="SUMMARY!$B19" lockText="1" noThreeD="1"/>
</file>

<file path=xl/ctrlProps/ctrlProp14.xml><?xml version="1.0" encoding="utf-8"?>
<formControlPr xmlns="http://schemas.microsoft.com/office/spreadsheetml/2009/9/main" objectType="CheckBox" checked="Checked" fmlaLink="SUMMARY!$B20" lockText="1" noThreeD="1"/>
</file>

<file path=xl/ctrlProps/ctrlProp15.xml><?xml version="1.0" encoding="utf-8"?>
<formControlPr xmlns="http://schemas.microsoft.com/office/spreadsheetml/2009/9/main" objectType="CheckBox" checked="Checked" fmlaLink="SUMMARY!$B21" lockText="1" noThreeD="1"/>
</file>

<file path=xl/ctrlProps/ctrlProp16.xml><?xml version="1.0" encoding="utf-8"?>
<formControlPr xmlns="http://schemas.microsoft.com/office/spreadsheetml/2009/9/main" objectType="CheckBox" checked="Checked" fmlaLink="SUMMARY!$B22" lockText="1" noThreeD="1"/>
</file>

<file path=xl/ctrlProps/ctrlProp17.xml><?xml version="1.0" encoding="utf-8"?>
<formControlPr xmlns="http://schemas.microsoft.com/office/spreadsheetml/2009/9/main" objectType="CheckBox" checked="Checked" fmlaLink="SUMMARY!$B23" lockText="1" noThreeD="1"/>
</file>

<file path=xl/ctrlProps/ctrlProp18.xml><?xml version="1.0" encoding="utf-8"?>
<formControlPr xmlns="http://schemas.microsoft.com/office/spreadsheetml/2009/9/main" objectType="CheckBox" checked="Checked" fmlaLink="SUMMARY!$B24" lockText="1" noThreeD="1"/>
</file>

<file path=xl/ctrlProps/ctrlProp19.xml><?xml version="1.0" encoding="utf-8"?>
<formControlPr xmlns="http://schemas.microsoft.com/office/spreadsheetml/2009/9/main" objectType="CheckBox" checked="Checked" fmlaLink="SUMMARY!$B25" lockText="1" noThreeD="1"/>
</file>

<file path=xl/ctrlProps/ctrlProp2.xml><?xml version="1.0" encoding="utf-8"?>
<formControlPr xmlns="http://schemas.microsoft.com/office/spreadsheetml/2009/9/main" objectType="CheckBox" checked="Checked" fmlaLink="SUMMARY!$B8" lockText="1" noThreeD="1"/>
</file>

<file path=xl/ctrlProps/ctrlProp20.xml><?xml version="1.0" encoding="utf-8"?>
<formControlPr xmlns="http://schemas.microsoft.com/office/spreadsheetml/2009/9/main" objectType="CheckBox" checked="Checked" fmlaLink="SUMMARY!$B26" lockText="1" noThreeD="1"/>
</file>

<file path=xl/ctrlProps/ctrlProp21.xml><?xml version="1.0" encoding="utf-8"?>
<formControlPr xmlns="http://schemas.microsoft.com/office/spreadsheetml/2009/9/main" objectType="CheckBox" checked="Checked"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checked="Checked"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checked="Checked" fmlaLink="SUMMARY!$B10" lockText="1" noThreeD="1"/>
</file>

<file path=xl/ctrlProps/ctrlProp5.xml><?xml version="1.0" encoding="utf-8"?>
<formControlPr xmlns="http://schemas.microsoft.com/office/spreadsheetml/2009/9/main" objectType="CheckBox" checked="Checked" fmlaLink="SUMMARY!$B11" lockText="1" noThreeD="1"/>
</file>

<file path=xl/ctrlProps/ctrlProp6.xml><?xml version="1.0" encoding="utf-8"?>
<formControlPr xmlns="http://schemas.microsoft.com/office/spreadsheetml/2009/9/main" objectType="CheckBox" checked="Checked" fmlaLink="SUMMARY!$B12" lockText="1" noThreeD="1"/>
</file>

<file path=xl/ctrlProps/ctrlProp7.xml><?xml version="1.0" encoding="utf-8"?>
<formControlPr xmlns="http://schemas.microsoft.com/office/spreadsheetml/2009/9/main" objectType="CheckBox" checked="Checked" fmlaLink="SUMMARY!$B13" lockText="1" noThreeD="1"/>
</file>

<file path=xl/ctrlProps/ctrlProp8.xml><?xml version="1.0" encoding="utf-8"?>
<formControlPr xmlns="http://schemas.microsoft.com/office/spreadsheetml/2009/9/main" objectType="CheckBox" checked="Checked" fmlaLink="SUMMARY!$B14" lockText="1" noThreeD="1"/>
</file>

<file path=xl/ctrlProps/ctrlProp9.xml><?xml version="1.0" encoding="utf-8"?>
<formControlPr xmlns="http://schemas.microsoft.com/office/spreadsheetml/2009/9/main" objectType="CheckBox" checked="Checked"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Table 3. Summary PROBAST'!A1"/><Relationship Id="rId3" Type="http://schemas.openxmlformats.org/officeDocument/2006/relationships/hyperlink" Target="#HOME!A1"/><Relationship Id="rId7" Type="http://schemas.openxmlformats.org/officeDocument/2006/relationships/hyperlink" Target="#'Table 2. 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Table 1. 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544830</xdr:colOff>
      <xdr:row>46</xdr:row>
      <xdr:rowOff>48065</xdr:rowOff>
    </xdr:from>
    <xdr:to>
      <xdr:col>4</xdr:col>
      <xdr:colOff>407095</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5" y="9363515"/>
          <a:ext cx="10419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 summary</a:t>
          </a:r>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tx1"/>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17</xdr:row>
          <xdr:rowOff>190500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18</xdr:row>
          <xdr:rowOff>190500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20</xdr:row>
          <xdr:rowOff>190500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21</xdr:row>
          <xdr:rowOff>190500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22</xdr:row>
          <xdr:rowOff>190500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23</xdr:row>
          <xdr:rowOff>190500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24</xdr:row>
          <xdr:rowOff>190500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25</xdr:row>
          <xdr:rowOff>190500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a:xfrm>
          <a:off x="12001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811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5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500-000006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700-000002000000}"/>
            </a:ext>
          </a:extLst>
        </xdr:cNvPr>
        <xdr:cNvGrpSpPr/>
      </xdr:nvGrpSpPr>
      <xdr:grpSpPr>
        <a:xfrm>
          <a:off x="7250206" y="523875"/>
          <a:ext cx="5334001" cy="5565962"/>
          <a:chOff x="6762750" y="552450"/>
          <a:chExt cx="5334001" cy="5524500"/>
        </a:xfrm>
      </xdr:grpSpPr>
      <xdr:graphicFrame macro="">
        <xdr:nvGraphicFramePr>
          <xdr:cNvPr id="3" name="Gráfico 2">
            <a:extLst>
              <a:ext uri="{FF2B5EF4-FFF2-40B4-BE49-F238E27FC236}">
                <a16:creationId xmlns:a16="http://schemas.microsoft.com/office/drawing/2014/main" id="{00000000-0008-0000-07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7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7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7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700-00000A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zoomScaleNormal="100" workbookViewId="0">
      <selection activeCell="A2" sqref="A2:L2"/>
    </sheetView>
  </sheetViews>
  <sheetFormatPr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58"/>
      <c r="B1" s="259"/>
      <c r="C1" s="259"/>
      <c r="D1" s="259"/>
      <c r="E1" s="259"/>
      <c r="F1" s="259"/>
      <c r="G1" s="259"/>
      <c r="H1" s="259"/>
      <c r="I1" s="259"/>
      <c r="J1" s="259"/>
      <c r="K1" s="259"/>
      <c r="L1" s="260"/>
    </row>
    <row r="2" spans="1:12" ht="30" customHeight="1" x14ac:dyDescent="0.25">
      <c r="A2" s="255" t="s">
        <v>0</v>
      </c>
      <c r="B2" s="256"/>
      <c r="C2" s="256"/>
      <c r="D2" s="256"/>
      <c r="E2" s="256"/>
      <c r="F2" s="256"/>
      <c r="G2" s="256"/>
      <c r="H2" s="256"/>
      <c r="I2" s="256"/>
      <c r="J2" s="256"/>
      <c r="K2" s="256"/>
      <c r="L2" s="257"/>
    </row>
    <row r="3" spans="1:12" ht="14.45" customHeight="1" thickBot="1" x14ac:dyDescent="0.3">
      <c r="A3" s="12"/>
      <c r="B3" s="193"/>
      <c r="C3" s="193"/>
      <c r="D3" s="10"/>
      <c r="E3" s="10"/>
      <c r="F3" s="10"/>
      <c r="G3" s="10"/>
      <c r="I3" s="10"/>
      <c r="J3" s="10"/>
      <c r="K3" s="10"/>
      <c r="L3" s="10"/>
    </row>
    <row r="4" spans="1:12" ht="24" customHeight="1" x14ac:dyDescent="0.25">
      <c r="A4" s="194"/>
      <c r="B4" s="261" t="s">
        <v>1</v>
      </c>
      <c r="C4" s="262"/>
      <c r="D4" s="262"/>
      <c r="E4" s="262"/>
      <c r="F4" s="262"/>
      <c r="G4" s="263"/>
      <c r="H4" s="195"/>
      <c r="I4" s="264"/>
      <c r="J4" s="265"/>
      <c r="K4" s="270"/>
      <c r="L4" s="271"/>
    </row>
    <row r="5" spans="1:12" ht="15" customHeight="1" x14ac:dyDescent="0.3">
      <c r="A5" s="196"/>
      <c r="B5" s="276" t="s">
        <v>2</v>
      </c>
      <c r="C5" s="277"/>
      <c r="D5" s="277"/>
      <c r="E5" s="277"/>
      <c r="F5" s="277"/>
      <c r="G5" s="278"/>
      <c r="H5" s="195"/>
      <c r="I5" s="266"/>
      <c r="J5" s="267"/>
      <c r="K5" s="272"/>
      <c r="L5" s="273"/>
    </row>
    <row r="6" spans="1:12" ht="15" customHeight="1" x14ac:dyDescent="0.25">
      <c r="A6" s="194"/>
      <c r="B6" s="276"/>
      <c r="C6" s="277"/>
      <c r="D6" s="277"/>
      <c r="E6" s="277"/>
      <c r="F6" s="277"/>
      <c r="G6" s="278"/>
      <c r="H6" s="195"/>
      <c r="I6" s="266"/>
      <c r="J6" s="267"/>
      <c r="K6" s="272"/>
      <c r="L6" s="273"/>
    </row>
    <row r="7" spans="1:12" ht="15" customHeight="1" thickBot="1" x14ac:dyDescent="0.3">
      <c r="A7" s="197"/>
      <c r="B7" s="276"/>
      <c r="C7" s="277"/>
      <c r="D7" s="277"/>
      <c r="E7" s="277"/>
      <c r="F7" s="277"/>
      <c r="G7" s="278"/>
      <c r="H7" s="195"/>
      <c r="I7" s="268"/>
      <c r="J7" s="269"/>
      <c r="K7" s="274"/>
      <c r="L7" s="275"/>
    </row>
    <row r="8" spans="1:12" ht="15" customHeight="1" thickBot="1" x14ac:dyDescent="0.3">
      <c r="A8" s="198"/>
      <c r="B8" s="279"/>
      <c r="C8" s="280"/>
      <c r="D8" s="280"/>
      <c r="E8" s="280"/>
      <c r="F8" s="280"/>
      <c r="G8" s="281"/>
      <c r="H8" s="195"/>
      <c r="I8" s="282" t="s">
        <v>3</v>
      </c>
      <c r="J8" s="283"/>
      <c r="K8" s="283"/>
      <c r="L8" s="284"/>
    </row>
    <row r="9" spans="1:12" ht="3" customHeight="1" thickBot="1" x14ac:dyDescent="0.3">
      <c r="A9" s="15"/>
      <c r="B9" s="11"/>
      <c r="C9" s="199"/>
      <c r="D9" s="11"/>
      <c r="E9" s="11"/>
      <c r="F9" s="11"/>
      <c r="G9" s="11"/>
      <c r="H9" s="200"/>
      <c r="I9" s="282"/>
      <c r="J9" s="283"/>
      <c r="K9" s="283"/>
      <c r="L9" s="284"/>
    </row>
    <row r="10" spans="1:12" ht="24" customHeight="1" x14ac:dyDescent="0.25">
      <c r="A10" s="15"/>
      <c r="B10" s="261" t="s">
        <v>4</v>
      </c>
      <c r="C10" s="262"/>
      <c r="D10" s="262"/>
      <c r="E10" s="262"/>
      <c r="F10" s="262"/>
      <c r="G10" s="263"/>
      <c r="H10" s="197"/>
      <c r="I10" s="282"/>
      <c r="J10" s="283"/>
      <c r="K10" s="283"/>
      <c r="L10" s="284"/>
    </row>
    <row r="11" spans="1:12" ht="15" customHeight="1" x14ac:dyDescent="0.25">
      <c r="A11" s="198"/>
      <c r="B11" s="288" t="s">
        <v>408</v>
      </c>
      <c r="C11" s="289"/>
      <c r="D11" s="289"/>
      <c r="E11" s="289"/>
      <c r="F11" s="289"/>
      <c r="G11" s="290"/>
      <c r="H11" s="201"/>
      <c r="I11" s="282"/>
      <c r="J11" s="283"/>
      <c r="K11" s="283"/>
      <c r="L11" s="284"/>
    </row>
    <row r="12" spans="1:12" ht="15" customHeight="1" x14ac:dyDescent="0.25">
      <c r="A12" s="198"/>
      <c r="B12" s="288"/>
      <c r="C12" s="289"/>
      <c r="D12" s="289"/>
      <c r="E12" s="289"/>
      <c r="F12" s="289"/>
      <c r="G12" s="290"/>
      <c r="H12" s="195"/>
      <c r="I12" s="282"/>
      <c r="J12" s="283"/>
      <c r="K12" s="283"/>
      <c r="L12" s="284"/>
    </row>
    <row r="13" spans="1:12" ht="15" customHeight="1" x14ac:dyDescent="0.25">
      <c r="A13" s="197"/>
      <c r="B13" s="288"/>
      <c r="C13" s="289"/>
      <c r="D13" s="289"/>
      <c r="E13" s="289"/>
      <c r="F13" s="289"/>
      <c r="G13" s="290"/>
      <c r="H13" s="195"/>
      <c r="I13" s="282"/>
      <c r="J13" s="283"/>
      <c r="K13" s="283"/>
      <c r="L13" s="284"/>
    </row>
    <row r="14" spans="1:12" ht="15" customHeight="1" x14ac:dyDescent="0.25">
      <c r="A14" s="198"/>
      <c r="B14" s="288"/>
      <c r="C14" s="289"/>
      <c r="D14" s="289"/>
      <c r="E14" s="289"/>
      <c r="F14" s="289"/>
      <c r="G14" s="290"/>
      <c r="H14" s="201"/>
      <c r="I14" s="282"/>
      <c r="J14" s="283"/>
      <c r="K14" s="283"/>
      <c r="L14" s="284"/>
    </row>
    <row r="15" spans="1:12" ht="15" customHeight="1" x14ac:dyDescent="0.25">
      <c r="A15" s="198"/>
      <c r="B15" s="288"/>
      <c r="C15" s="289"/>
      <c r="D15" s="289"/>
      <c r="E15" s="289"/>
      <c r="F15" s="289"/>
      <c r="G15" s="290"/>
      <c r="H15" s="202"/>
      <c r="I15" s="282"/>
      <c r="J15" s="283"/>
      <c r="K15" s="283"/>
      <c r="L15" s="284"/>
    </row>
    <row r="16" spans="1:12" ht="15" customHeight="1" x14ac:dyDescent="0.25">
      <c r="A16" s="198"/>
      <c r="B16" s="288"/>
      <c r="C16" s="289"/>
      <c r="D16" s="289"/>
      <c r="E16" s="289"/>
      <c r="F16" s="289"/>
      <c r="G16" s="290"/>
      <c r="H16" s="195"/>
      <c r="I16" s="282"/>
      <c r="J16" s="283"/>
      <c r="K16" s="283"/>
      <c r="L16" s="284"/>
    </row>
    <row r="17" spans="1:12" ht="15" customHeight="1" thickBot="1" x14ac:dyDescent="0.3">
      <c r="A17" s="197"/>
      <c r="B17" s="291"/>
      <c r="C17" s="292"/>
      <c r="D17" s="292"/>
      <c r="E17" s="292"/>
      <c r="F17" s="292"/>
      <c r="G17" s="293"/>
      <c r="H17" s="195"/>
      <c r="I17" s="285"/>
      <c r="J17" s="286"/>
      <c r="K17" s="286"/>
      <c r="L17" s="287"/>
    </row>
    <row r="18" spans="1:12" ht="3" customHeight="1" thickBot="1" x14ac:dyDescent="0.3">
      <c r="B18" s="203"/>
      <c r="C18" s="204"/>
      <c r="D18" s="203"/>
      <c r="E18" s="203"/>
      <c r="F18" s="203"/>
      <c r="G18" s="203"/>
      <c r="H18" s="10"/>
      <c r="I18" s="203"/>
      <c r="J18" s="203"/>
      <c r="K18" s="203"/>
      <c r="L18" s="203"/>
    </row>
    <row r="19" spans="1:12" ht="24" customHeight="1" x14ac:dyDescent="0.25">
      <c r="B19" s="240" t="s">
        <v>5</v>
      </c>
      <c r="C19" s="241"/>
      <c r="D19" s="241"/>
      <c r="E19" s="241"/>
      <c r="F19" s="241"/>
      <c r="G19" s="241"/>
      <c r="H19" s="241"/>
      <c r="I19" s="241"/>
      <c r="J19" s="241"/>
      <c r="K19" s="241"/>
      <c r="L19" s="242"/>
    </row>
    <row r="20" spans="1:12" ht="15" customHeight="1" x14ac:dyDescent="0.25">
      <c r="A20" s="197"/>
      <c r="B20" s="231" t="s">
        <v>6</v>
      </c>
      <c r="C20" s="243"/>
      <c r="D20" s="243"/>
      <c r="E20" s="243"/>
      <c r="F20" s="243"/>
      <c r="G20" s="243"/>
      <c r="H20" s="243"/>
      <c r="I20" s="243"/>
      <c r="J20" s="243"/>
      <c r="K20" s="243"/>
      <c r="L20" s="244"/>
    </row>
    <row r="21" spans="1:12" ht="15" customHeight="1" x14ac:dyDescent="0.25">
      <c r="A21" s="197"/>
      <c r="B21" s="245"/>
      <c r="C21" s="243"/>
      <c r="D21" s="243"/>
      <c r="E21" s="243"/>
      <c r="F21" s="243"/>
      <c r="G21" s="243"/>
      <c r="H21" s="243"/>
      <c r="I21" s="243"/>
      <c r="J21" s="243"/>
      <c r="K21" s="243"/>
      <c r="L21" s="244"/>
    </row>
    <row r="22" spans="1:12" ht="15" customHeight="1" x14ac:dyDescent="0.25">
      <c r="A22" s="197"/>
      <c r="B22" s="245"/>
      <c r="C22" s="243"/>
      <c r="D22" s="243"/>
      <c r="E22" s="243"/>
      <c r="F22" s="243"/>
      <c r="G22" s="243"/>
      <c r="H22" s="243"/>
      <c r="I22" s="243"/>
      <c r="J22" s="243"/>
      <c r="K22" s="243"/>
      <c r="L22" s="244"/>
    </row>
    <row r="23" spans="1:12" ht="24" customHeight="1" x14ac:dyDescent="0.25">
      <c r="A23" s="194"/>
      <c r="B23" s="246"/>
      <c r="C23" s="247"/>
      <c r="D23" s="247"/>
      <c r="E23" s="247"/>
      <c r="F23" s="247"/>
      <c r="G23" s="247"/>
      <c r="H23" s="247"/>
      <c r="I23" s="247"/>
      <c r="J23" s="247"/>
      <c r="K23" s="247"/>
      <c r="L23" s="248"/>
    </row>
    <row r="24" spans="1:12" ht="15" customHeight="1" x14ac:dyDescent="0.25">
      <c r="A24" s="194"/>
      <c r="B24" s="249" t="s">
        <v>7</v>
      </c>
      <c r="C24" s="250"/>
      <c r="D24" s="250"/>
      <c r="E24" s="250"/>
      <c r="F24" s="250"/>
      <c r="G24" s="250"/>
      <c r="H24" s="250"/>
      <c r="I24" s="250"/>
      <c r="J24" s="250"/>
      <c r="K24" s="250"/>
      <c r="L24" s="251"/>
    </row>
    <row r="25" spans="1:12" ht="15" customHeight="1" x14ac:dyDescent="0.25">
      <c r="A25" s="194"/>
      <c r="B25" s="249"/>
      <c r="C25" s="250"/>
      <c r="D25" s="250"/>
      <c r="E25" s="250"/>
      <c r="F25" s="250"/>
      <c r="G25" s="250"/>
      <c r="H25" s="250"/>
      <c r="I25" s="250"/>
      <c r="J25" s="250"/>
      <c r="K25" s="250"/>
      <c r="L25" s="251"/>
    </row>
    <row r="26" spans="1:12" ht="15" customHeight="1" x14ac:dyDescent="0.25">
      <c r="A26" s="194"/>
      <c r="B26" s="249"/>
      <c r="C26" s="250"/>
      <c r="D26" s="250"/>
      <c r="E26" s="250"/>
      <c r="F26" s="250"/>
      <c r="G26" s="250"/>
      <c r="H26" s="250"/>
      <c r="I26" s="250"/>
      <c r="J26" s="250"/>
      <c r="K26" s="250"/>
      <c r="L26" s="251"/>
    </row>
    <row r="27" spans="1:12" ht="15" customHeight="1" x14ac:dyDescent="0.25">
      <c r="A27" s="194"/>
      <c r="B27" s="249"/>
      <c r="C27" s="250"/>
      <c r="D27" s="250"/>
      <c r="E27" s="250"/>
      <c r="F27" s="250"/>
      <c r="G27" s="250"/>
      <c r="H27" s="250"/>
      <c r="I27" s="250"/>
      <c r="J27" s="250"/>
      <c r="K27" s="250"/>
      <c r="L27" s="251"/>
    </row>
    <row r="28" spans="1:12" ht="15" customHeight="1" x14ac:dyDescent="0.25">
      <c r="A28" s="194"/>
      <c r="B28" s="249"/>
      <c r="C28" s="250"/>
      <c r="D28" s="250"/>
      <c r="E28" s="250"/>
      <c r="F28" s="250"/>
      <c r="G28" s="250"/>
      <c r="H28" s="250"/>
      <c r="I28" s="250"/>
      <c r="J28" s="250"/>
      <c r="K28" s="250"/>
      <c r="L28" s="251"/>
    </row>
    <row r="29" spans="1:12" ht="24" customHeight="1" x14ac:dyDescent="0.25">
      <c r="A29" s="194"/>
      <c r="B29" s="252"/>
      <c r="C29" s="253"/>
      <c r="D29" s="253"/>
      <c r="E29" s="253"/>
      <c r="F29" s="253"/>
      <c r="G29" s="253"/>
      <c r="H29" s="253"/>
      <c r="I29" s="253"/>
      <c r="J29" s="253"/>
      <c r="K29" s="253"/>
      <c r="L29" s="254"/>
    </row>
    <row r="30" spans="1:12" ht="15" customHeight="1" x14ac:dyDescent="0.25">
      <c r="A30" s="194"/>
      <c r="B30" s="231" t="s">
        <v>8</v>
      </c>
      <c r="C30" s="232"/>
      <c r="D30" s="232"/>
      <c r="E30" s="232"/>
      <c r="F30" s="232"/>
      <c r="G30" s="232"/>
      <c r="H30" s="232"/>
      <c r="I30" s="232"/>
      <c r="J30" s="232"/>
      <c r="K30" s="232"/>
      <c r="L30" s="233"/>
    </row>
    <row r="31" spans="1:12" ht="15" customHeight="1" x14ac:dyDescent="0.25">
      <c r="A31" s="194"/>
      <c r="B31" s="231"/>
      <c r="C31" s="232"/>
      <c r="D31" s="232"/>
      <c r="E31" s="232"/>
      <c r="F31" s="232"/>
      <c r="G31" s="232"/>
      <c r="H31" s="232"/>
      <c r="I31" s="232"/>
      <c r="J31" s="232"/>
      <c r="K31" s="232"/>
      <c r="L31" s="233"/>
    </row>
    <row r="32" spans="1:12" ht="15" customHeight="1" x14ac:dyDescent="0.25">
      <c r="A32" s="194"/>
      <c r="B32" s="231"/>
      <c r="C32" s="232"/>
      <c r="D32" s="232"/>
      <c r="E32" s="232"/>
      <c r="F32" s="232"/>
      <c r="G32" s="232"/>
      <c r="H32" s="232"/>
      <c r="I32" s="232"/>
      <c r="J32" s="232"/>
      <c r="K32" s="232"/>
      <c r="L32" s="233"/>
    </row>
    <row r="33" spans="1:12" ht="15" customHeight="1" x14ac:dyDescent="0.25">
      <c r="A33" s="194"/>
      <c r="B33" s="231"/>
      <c r="C33" s="232"/>
      <c r="D33" s="232"/>
      <c r="E33" s="232"/>
      <c r="F33" s="232"/>
      <c r="G33" s="232"/>
      <c r="H33" s="232"/>
      <c r="I33" s="232"/>
      <c r="J33" s="232"/>
      <c r="K33" s="232"/>
      <c r="L33" s="233"/>
    </row>
    <row r="34" spans="1:12" ht="15" customHeight="1" x14ac:dyDescent="0.25">
      <c r="A34" s="194"/>
      <c r="B34" s="231"/>
      <c r="C34" s="232"/>
      <c r="D34" s="232"/>
      <c r="E34" s="232"/>
      <c r="F34" s="232"/>
      <c r="G34" s="232"/>
      <c r="H34" s="232"/>
      <c r="I34" s="232"/>
      <c r="J34" s="232"/>
      <c r="K34" s="232"/>
      <c r="L34" s="233"/>
    </row>
    <row r="35" spans="1:12" ht="15" customHeight="1" x14ac:dyDescent="0.25">
      <c r="A35" s="194"/>
      <c r="B35" s="231"/>
      <c r="C35" s="232"/>
      <c r="D35" s="232"/>
      <c r="E35" s="232"/>
      <c r="F35" s="232"/>
      <c r="G35" s="232"/>
      <c r="H35" s="232"/>
      <c r="I35" s="232"/>
      <c r="J35" s="232"/>
      <c r="K35" s="232"/>
      <c r="L35" s="233"/>
    </row>
    <row r="36" spans="1:12" ht="15" customHeight="1" x14ac:dyDescent="0.25">
      <c r="A36" s="194"/>
      <c r="B36" s="231"/>
      <c r="C36" s="232"/>
      <c r="D36" s="232"/>
      <c r="E36" s="232"/>
      <c r="F36" s="232"/>
      <c r="G36" s="232"/>
      <c r="H36" s="232"/>
      <c r="I36" s="232"/>
      <c r="J36" s="232"/>
      <c r="K36" s="232"/>
      <c r="L36" s="233"/>
    </row>
    <row r="37" spans="1:12" ht="24" customHeight="1" x14ac:dyDescent="0.25">
      <c r="A37" s="194"/>
      <c r="B37" s="234"/>
      <c r="C37" s="235"/>
      <c r="D37" s="235"/>
      <c r="E37" s="235"/>
      <c r="F37" s="235"/>
      <c r="G37" s="235"/>
      <c r="H37" s="235"/>
      <c r="I37" s="235"/>
      <c r="J37" s="235"/>
      <c r="K37" s="235"/>
      <c r="L37" s="236"/>
    </row>
    <row r="38" spans="1:12" ht="15" customHeight="1" x14ac:dyDescent="0.25">
      <c r="A38" s="194"/>
      <c r="B38" s="231" t="s">
        <v>407</v>
      </c>
      <c r="C38" s="232"/>
      <c r="D38" s="232"/>
      <c r="E38" s="232"/>
      <c r="F38" s="232"/>
      <c r="G38" s="232"/>
      <c r="H38" s="232"/>
      <c r="I38" s="232"/>
      <c r="J38" s="232"/>
      <c r="K38" s="232"/>
      <c r="L38" s="233"/>
    </row>
    <row r="39" spans="1:12" ht="15" customHeight="1" x14ac:dyDescent="0.25">
      <c r="A39" s="194"/>
      <c r="B39" s="231"/>
      <c r="C39" s="232"/>
      <c r="D39" s="232"/>
      <c r="E39" s="232"/>
      <c r="F39" s="232"/>
      <c r="G39" s="232"/>
      <c r="H39" s="232"/>
      <c r="I39" s="232"/>
      <c r="J39" s="232"/>
      <c r="K39" s="232"/>
      <c r="L39" s="233"/>
    </row>
    <row r="40" spans="1:12" ht="15" customHeight="1" x14ac:dyDescent="0.25">
      <c r="A40" s="205"/>
      <c r="B40" s="231"/>
      <c r="C40" s="232"/>
      <c r="D40" s="232"/>
      <c r="E40" s="232"/>
      <c r="F40" s="232"/>
      <c r="G40" s="232"/>
      <c r="H40" s="232"/>
      <c r="I40" s="232"/>
      <c r="J40" s="232"/>
      <c r="K40" s="232"/>
      <c r="L40" s="233"/>
    </row>
    <row r="41" spans="1:12" ht="15" customHeight="1" x14ac:dyDescent="0.25">
      <c r="A41" s="194"/>
      <c r="B41" s="231"/>
      <c r="C41" s="232"/>
      <c r="D41" s="232"/>
      <c r="E41" s="232"/>
      <c r="F41" s="232"/>
      <c r="G41" s="232"/>
      <c r="H41" s="232"/>
      <c r="I41" s="232"/>
      <c r="J41" s="232"/>
      <c r="K41" s="232"/>
      <c r="L41" s="233"/>
    </row>
    <row r="42" spans="1:12" ht="15" customHeight="1" x14ac:dyDescent="0.25">
      <c r="A42" s="194"/>
      <c r="B42" s="231"/>
      <c r="C42" s="232"/>
      <c r="D42" s="232"/>
      <c r="E42" s="232"/>
      <c r="F42" s="232"/>
      <c r="G42" s="232"/>
      <c r="H42" s="232"/>
      <c r="I42" s="232"/>
      <c r="J42" s="232"/>
      <c r="K42" s="232"/>
      <c r="L42" s="233"/>
    </row>
    <row r="43" spans="1:12" s="4" customFormat="1" ht="15" customHeight="1" x14ac:dyDescent="0.2">
      <c r="A43" s="205"/>
      <c r="B43" s="231"/>
      <c r="C43" s="232"/>
      <c r="D43" s="232"/>
      <c r="E43" s="232"/>
      <c r="F43" s="232"/>
      <c r="G43" s="232"/>
      <c r="H43" s="232"/>
      <c r="I43" s="232"/>
      <c r="J43" s="232"/>
      <c r="K43" s="232"/>
      <c r="L43" s="233"/>
    </row>
    <row r="44" spans="1:12" ht="15" customHeight="1" x14ac:dyDescent="0.25">
      <c r="A44" s="197"/>
      <c r="B44" s="231"/>
      <c r="C44" s="232"/>
      <c r="D44" s="232"/>
      <c r="E44" s="232"/>
      <c r="F44" s="232"/>
      <c r="G44" s="232"/>
      <c r="H44" s="232"/>
      <c r="I44" s="232"/>
      <c r="J44" s="232"/>
      <c r="K44" s="232"/>
      <c r="L44" s="233"/>
    </row>
    <row r="45" spans="1:12" ht="15" customHeight="1" x14ac:dyDescent="0.25">
      <c r="A45" s="197"/>
      <c r="B45" s="231"/>
      <c r="C45" s="232"/>
      <c r="D45" s="232"/>
      <c r="E45" s="232"/>
      <c r="F45" s="232"/>
      <c r="G45" s="232"/>
      <c r="H45" s="232"/>
      <c r="I45" s="232"/>
      <c r="J45" s="232"/>
      <c r="K45" s="232"/>
      <c r="L45" s="233"/>
    </row>
    <row r="46" spans="1:12" ht="15" customHeight="1" x14ac:dyDescent="0.25">
      <c r="A46" s="197"/>
      <c r="B46" s="231"/>
      <c r="C46" s="232"/>
      <c r="D46" s="232"/>
      <c r="E46" s="232"/>
      <c r="F46" s="232"/>
      <c r="G46" s="232"/>
      <c r="H46" s="232"/>
      <c r="I46" s="232"/>
      <c r="J46" s="232"/>
      <c r="K46" s="232"/>
      <c r="L46" s="233"/>
    </row>
    <row r="47" spans="1:12" ht="24" customHeight="1" thickBot="1" x14ac:dyDescent="0.3">
      <c r="A47" s="197"/>
      <c r="B47" s="237"/>
      <c r="C47" s="238"/>
      <c r="D47" s="238"/>
      <c r="E47" s="238"/>
      <c r="F47" s="238"/>
      <c r="G47" s="238"/>
      <c r="H47" s="238"/>
      <c r="I47" s="238"/>
      <c r="J47" s="238"/>
      <c r="K47" s="238"/>
      <c r="L47" s="239"/>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selectLockedCells="1" selectUnlockedCells="1"/>
  <mergeCells count="18">
    <mergeCell ref="A2:L2"/>
    <mergeCell ref="A1:L1"/>
    <mergeCell ref="B4:G4"/>
    <mergeCell ref="I4:J7"/>
    <mergeCell ref="K4:L7"/>
    <mergeCell ref="B5:G8"/>
    <mergeCell ref="I8:L17"/>
    <mergeCell ref="B10:G10"/>
    <mergeCell ref="B11:G17"/>
    <mergeCell ref="B30:L36"/>
    <mergeCell ref="B37:L37"/>
    <mergeCell ref="B38:L46"/>
    <mergeCell ref="B47:L47"/>
    <mergeCell ref="B19:L19"/>
    <mergeCell ref="B20:L22"/>
    <mergeCell ref="B23:L23"/>
    <mergeCell ref="B24:L28"/>
    <mergeCell ref="B29:L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1"/>
  </sheetPr>
  <dimension ref="B1:K36"/>
  <sheetViews>
    <sheetView showGridLines="0" zoomScale="85" zoomScaleNormal="85" workbookViewId="0">
      <selection activeCell="D13" sqref="D13"/>
    </sheetView>
  </sheetViews>
  <sheetFormatPr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94" t="s">
        <v>10</v>
      </c>
      <c r="K3" s="294"/>
    </row>
    <row r="4" spans="2:11" ht="16.5" customHeight="1" x14ac:dyDescent="0.25">
      <c r="I4" s="35">
        <v>1</v>
      </c>
      <c r="J4" s="294" t="s">
        <v>11</v>
      </c>
      <c r="K4" s="294"/>
    </row>
    <row r="5" spans="2:11" ht="16.5" customHeight="1" x14ac:dyDescent="0.25">
      <c r="C5" s="19"/>
      <c r="E5" s="20" t="s">
        <v>12</v>
      </c>
      <c r="F5" s="45">
        <f>COUNTIF(SUMMARY!B7:B36,TRUE())</f>
        <v>21</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1</v>
      </c>
      <c r="C7" s="21">
        <f>IF(B7=TRUE,1,"")</f>
        <v>1</v>
      </c>
      <c r="D7" s="210" t="s">
        <v>410</v>
      </c>
      <c r="E7" s="26">
        <v>2019</v>
      </c>
      <c r="F7" s="209" t="s">
        <v>441</v>
      </c>
      <c r="G7" s="185"/>
      <c r="H7" s="185" t="s">
        <v>430</v>
      </c>
      <c r="I7" s="186" t="str">
        <f>IF(D7="","",CONCATENATE(D7,", ",E7))</f>
        <v>Jill M. Brooks, 2019</v>
      </c>
      <c r="J7" s="44">
        <f>IF(SUMMARY!B7=TRUE,IF(SUM(CHARMS!F$13,CHARMS!F$15,CHARMS!F$29,CHARMS!F$37,CHARMS!F$44,CHARMS!F$49,CHARMS!F$52,CHARMS!F$57,CHARMS!F$78,CHARMS!F$83,CHARMS!F$88)&lt;11,0,1))</f>
        <v>1</v>
      </c>
      <c r="K7" s="44">
        <f>IF(SUMMARY!B7=TRUE,IF(SUM(COUNTBLANK(PROBAST!B$16:B$17),COUNTBLANK(PROBAST!B$30:B$31),COUNTBLANK(PROBAST!B$44:B$45),COUNTBLANK(PROBAST!B$63))&gt;0,0,1))</f>
        <v>1</v>
      </c>
    </row>
    <row r="8" spans="2:11" ht="15" customHeight="1" x14ac:dyDescent="0.25">
      <c r="B8" s="42" t="b">
        <v>1</v>
      </c>
      <c r="C8" s="21">
        <f>IF(B8=TRUE,2,"")</f>
        <v>2</v>
      </c>
      <c r="D8" s="22" t="s">
        <v>436</v>
      </c>
      <c r="E8" s="26">
        <v>2013</v>
      </c>
      <c r="F8" s="211"/>
      <c r="G8" s="185"/>
      <c r="H8" s="185" t="s">
        <v>411</v>
      </c>
      <c r="I8" s="186" t="str">
        <f t="shared" ref="I8:I36" si="0">IF(D8="","",CONCATENATE(D8,", ",E8))</f>
        <v>Edian F. Franco, 2013</v>
      </c>
      <c r="J8" s="44">
        <f>IF(SUMMARY!B$8=TRUE,IF(SUM(CHARMS!I13,CHARMS!I15,CHARMS!I29,CHARMS!I37,CHARMS!I44,CHARMS!I49,CHARMS!I52,CHARMS!I57,CHARMS!I78,CHARMS!I83,CHARMS!I88)&lt;11,0,1))</f>
        <v>1</v>
      </c>
      <c r="K8" s="44">
        <f>IF(SUMMARY!B8=TRUE,IF(SUM(COUNTBLANK(PROBAST!C$16:C$17),COUNTBLANK(PROBAST!C$30:C$31),COUNTBLANK(PROBAST!C$44:C$45),COUNTBLANK(PROBAST!C$63))&gt;0,0,1))</f>
        <v>1</v>
      </c>
    </row>
    <row r="9" spans="2:11" ht="15" customHeight="1" x14ac:dyDescent="0.25">
      <c r="B9" s="42" t="b">
        <v>1</v>
      </c>
      <c r="C9" s="21">
        <f>IF(B9=TRUE,3,"")</f>
        <v>3</v>
      </c>
      <c r="D9" s="213" t="s">
        <v>412</v>
      </c>
      <c r="E9" s="26">
        <v>2021</v>
      </c>
      <c r="F9" s="212" t="s">
        <v>439</v>
      </c>
      <c r="G9" s="185"/>
      <c r="H9" s="214" t="s">
        <v>431</v>
      </c>
      <c r="I9" s="186" t="str">
        <f t="shared" si="0"/>
        <v>Cheng-Peng Gui, 2021</v>
      </c>
      <c r="J9" s="44">
        <f>IF(SUMMARY!B$9=TRUE,IF(SUM(CHARMS!L13,CHARMS!L15,CHARMS!L29,CHARMS!L37,CHARMS!L44,CHARMS!L49,CHARMS!L52,CHARMS!L57,CHARMS!L78,CHARMS!L83,CHARMS!L88)&lt;11,0,1))</f>
        <v>1</v>
      </c>
      <c r="K9" s="44">
        <f>IF(SUMMARY!B9=TRUE,IF(SUM(COUNTBLANK(PROBAST!D$16:D$17),COUNTBLANK(PROBAST!D$30:D$31),COUNTBLANK(PROBAST!D$44:D$45),COUNTBLANK(PROBAST!D$63))&gt;0,0,1))</f>
        <v>1</v>
      </c>
    </row>
    <row r="10" spans="2:11" ht="15" customHeight="1" x14ac:dyDescent="0.25">
      <c r="B10" s="43" t="b">
        <v>1</v>
      </c>
      <c r="C10" s="21">
        <f>IF(B10=TRUE,4,"")</f>
        <v>4</v>
      </c>
      <c r="D10" s="216" t="s">
        <v>413</v>
      </c>
      <c r="E10" s="26">
        <v>2020</v>
      </c>
      <c r="F10" s="215" t="s">
        <v>445</v>
      </c>
      <c r="G10" s="185"/>
      <c r="H10" s="217" t="s">
        <v>447</v>
      </c>
      <c r="I10" s="186" t="str">
        <f t="shared" si="0"/>
        <v>Yifan Liu, 2020</v>
      </c>
      <c r="J10" s="44">
        <f>IF(SUMMARY!B$10=TRUE,IF(SUM(CHARMS!O13,CHARMS!O15,CHARMS!O29,CHARMS!O37,CHARMS!O44,CHARMS!O49,CHARMS!O52,CHARMS!O57,CHARMS!O78,CHARMS!O83,CHARMS!O88)&lt;11,0,1))</f>
        <v>1</v>
      </c>
      <c r="K10" s="44">
        <f>IF(SUMMARY!B10=TRUE,IF(SUM(COUNTBLANK(PROBAST!E$16:E$17),COUNTBLANK(PROBAST!E$30:E$31),COUNTBLANK(PROBAST!E$44:E$45),COUNTBLANK(PROBAST!E$63))&gt;0,0,1))</f>
        <v>1</v>
      </c>
    </row>
    <row r="11" spans="2:11" ht="15" customHeight="1" x14ac:dyDescent="0.25">
      <c r="B11" s="43" t="b">
        <v>1</v>
      </c>
      <c r="C11" s="21">
        <f>IF(B11=TRUE,5,"")</f>
        <v>5</v>
      </c>
      <c r="D11" s="22" t="s">
        <v>448</v>
      </c>
      <c r="E11" s="26">
        <v>2021</v>
      </c>
      <c r="F11" s="218" t="s">
        <v>446</v>
      </c>
      <c r="G11" s="185"/>
      <c r="H11" s="185" t="s">
        <v>433</v>
      </c>
      <c r="I11" s="186" t="e">
        <f>IF(#REF!="","",CONCATENATE(#REF!,", ",#REF!))</f>
        <v>#REF!</v>
      </c>
      <c r="J11" s="44">
        <f>IF(SUMMARY!B$11=TRUE,IF(SUM(CHARMS!R13,CHARMS!R15,CHARMS!R29,CHARMS!R37,CHARMS!R44,CHARMS!R49,CHARMS!R52,CHARMS!R57,CHARMS!R78,CHARMS!R83,CHARMS!R88)&lt;11,0,1))</f>
        <v>1</v>
      </c>
      <c r="K11" s="44">
        <f>IF(SUMMARY!B11=TRUE,IF(SUM(COUNTBLANK(PROBAST!F$16:F$17),COUNTBLANK(PROBAST!F$30:F$31),COUNTBLANK(PROBAST!F$44:F$45),COUNTBLANK(PROBAST!F$63))&gt;0,0,1))</f>
        <v>1</v>
      </c>
    </row>
    <row r="12" spans="2:11" ht="15" customHeight="1" x14ac:dyDescent="0.25">
      <c r="B12" s="43" t="b">
        <v>1</v>
      </c>
      <c r="C12" s="21">
        <f>IF(B12=TRUE,6,"")</f>
        <v>6</v>
      </c>
      <c r="D12" s="213" t="s">
        <v>415</v>
      </c>
      <c r="E12" s="26">
        <v>2022</v>
      </c>
      <c r="F12" s="185" t="s">
        <v>442</v>
      </c>
      <c r="G12" s="185"/>
      <c r="H12" s="185" t="s">
        <v>432</v>
      </c>
      <c r="I12" s="186" t="str">
        <f t="shared" si="0"/>
        <v>Jia Li, 2022</v>
      </c>
      <c r="J12" s="44">
        <f>IF(SUMMARY!B$12=TRUE,IF(SUM(CHARMS!U13,CHARMS!U15,CHARMS!U29,CHARMS!U37,CHARMS!U44,CHARMS!U49,CHARMS!U52,CHARMS!U57,CHARMS!U78,CHARMS!U83,CHARMS!U88)&lt;11,0,1))</f>
        <v>1</v>
      </c>
      <c r="K12" s="44">
        <f>IF(SUMMARY!B12=TRUE,IF(SUM(COUNTBLANK(PROBAST!G$16:G$17),COUNTBLANK(PROBAST!G$30:G$31),COUNTBLANK(PROBAST!G$44:G$45),COUNTBLANK(PROBAST!G$63))&gt;0,0,1))</f>
        <v>1</v>
      </c>
    </row>
    <row r="13" spans="2:11" ht="15" customHeight="1" x14ac:dyDescent="0.25">
      <c r="B13" s="43" t="b">
        <v>1</v>
      </c>
      <c r="C13" s="21">
        <f>IF(B13=TRUE,7,"")</f>
        <v>7</v>
      </c>
      <c r="D13" s="219" t="s">
        <v>416</v>
      </c>
      <c r="E13" s="26">
        <v>2021</v>
      </c>
      <c r="F13" s="185" t="s">
        <v>450</v>
      </c>
      <c r="G13" s="185"/>
      <c r="H13" s="220" t="s">
        <v>417</v>
      </c>
      <c r="I13" s="186" t="str">
        <f t="shared" si="0"/>
        <v>Run Shi , 2021</v>
      </c>
      <c r="J13" s="44">
        <f>IF(SUMMARY!B$13=TRUE,IF(SUM(CHARMS!X13,CHARMS!X15,CHARMS!X29,CHARMS!X37,CHARMS!X44,CHARMS!X49,CHARMS!X52,CHARMS!X57,CHARMS!X78,CHARMS!X83,CHARMS!X88)&lt;11,0,1))</f>
        <v>1</v>
      </c>
      <c r="K13" s="44">
        <f>IF(SUMMARY!B13=TRUE,IF(SUM(COUNTBLANK(PROBAST!H$16:H$17),COUNTBLANK(PROBAST!H$30:H$31),COUNTBLANK(PROBAST!H$44:H$45),COUNTBLANK(PROBAST!H$63))&gt;0,0,1))</f>
        <v>1</v>
      </c>
    </row>
    <row r="14" spans="2:11" ht="15" customHeight="1" x14ac:dyDescent="0.25">
      <c r="B14" s="43" t="b">
        <v>1</v>
      </c>
      <c r="C14" s="21">
        <f>IF(B14=TRUE,8,"")</f>
        <v>8</v>
      </c>
      <c r="D14" s="219" t="s">
        <v>418</v>
      </c>
      <c r="E14" s="26">
        <v>2021</v>
      </c>
      <c r="F14" s="185" t="s">
        <v>451</v>
      </c>
      <c r="G14" s="185"/>
      <c r="H14" s="185" t="s">
        <v>471</v>
      </c>
      <c r="I14" s="186" t="str">
        <f t="shared" si="0"/>
        <v>Jun Shao, 2021</v>
      </c>
      <c r="J14" s="44">
        <f>IF(SUMMARY!B$14=TRUE,IF(SUM(CHARMS!AA13,CHARMS!AA15,CHARMS!AA29,CHARMS!AA37,CHARMS!AA44,CHARMS!AA49,CHARMS!AA52,CHARMS!AA57,CHARMS!AA78,CHARMS!AA83,CHARMS!AA88)&lt;11,0,1))</f>
        <v>1</v>
      </c>
      <c r="K14" s="44">
        <f>IF(SUMMARY!B14=TRUE,IF(SUM(COUNTBLANK(PROBAST!I$16:I$17),COUNTBLANK(PROBAST!I$30:I$31),COUNTBLANK(PROBAST!I$44:I$45),COUNTBLANK(PROBAST!I$63))&gt;0,0,1))</f>
        <v>1</v>
      </c>
    </row>
    <row r="15" spans="2:11" ht="15" customHeight="1" x14ac:dyDescent="0.25">
      <c r="B15" s="43" t="b">
        <v>1</v>
      </c>
      <c r="C15" s="21">
        <f>IF(B15=TRUE,9,"")</f>
        <v>9</v>
      </c>
      <c r="D15" s="213" t="s">
        <v>419</v>
      </c>
      <c r="E15" s="26">
        <v>2020</v>
      </c>
      <c r="F15" s="185" t="s">
        <v>449</v>
      </c>
      <c r="G15" s="185"/>
      <c r="H15" s="217" t="s">
        <v>472</v>
      </c>
      <c r="I15" s="186" t="str">
        <f t="shared" si="0"/>
        <v>Baohui Zhang, 2020</v>
      </c>
      <c r="J15" s="44">
        <f>IF(SUMMARY!B$15=TRUE,IF(SUM(CHARMS!AD13,CHARMS!AD15,CHARMS!AD29,CHARMS!AD37,CHARMS!AD44,CHARMS!AD49,CHARMS!AD52,CHARMS!AD57,CHARMS!AD78,CHARMS!AD83,CHARMS!AD88)&lt;11,0,1))</f>
        <v>1</v>
      </c>
      <c r="K15" s="44">
        <f>IF(SUMMARY!B15=TRUE,IF(SUM(COUNTBLANK(PROBAST!J$16:J$17),COUNTBLANK(PROBAST!J$30:J$31),COUNTBLANK(PROBAST!J$44:J$45),COUNTBLANK(PROBAST!J$63))&gt;0,0,1))</f>
        <v>1</v>
      </c>
    </row>
    <row r="16" spans="2:11" ht="15" customHeight="1" x14ac:dyDescent="0.25">
      <c r="B16" s="43" t="b">
        <v>1</v>
      </c>
      <c r="C16" s="21">
        <f>IF(B16=TRUE,10,"")</f>
        <v>10</v>
      </c>
      <c r="D16" s="213" t="s">
        <v>420</v>
      </c>
      <c r="E16" s="26">
        <v>2021</v>
      </c>
      <c r="F16" s="185" t="s">
        <v>452</v>
      </c>
      <c r="G16" s="185"/>
      <c r="H16" s="221" t="s">
        <v>414</v>
      </c>
      <c r="I16" s="186" t="str">
        <f t="shared" si="0"/>
        <v>Qiangnu Zhang, 2021</v>
      </c>
      <c r="J16" s="44">
        <f>IF(SUMMARY!B$16=TRUE,IF(SUM(CHARMS!AG13,CHARMS!AG15,CHARMS!AG29,CHARMS!AG37,CHARMS!AG44,CHARMS!AG49,CHARMS!AG52,CHARMS!AG57,CHARMS!AG78,CHARMS!AG83,CHARMS!AG88)&lt;11,0,1))</f>
        <v>1</v>
      </c>
      <c r="K16" s="44">
        <f>IF(SUMMARY!B16=TRUE,IF(SUM(COUNTBLANK(PROBAST!K$16:K$17),COUNTBLANK(PROBAST!K$30:K$31),COUNTBLANK(PROBAST!K$44:K$45),COUNTBLANK(PROBAST!K$63))&gt;0,0,1))</f>
        <v>1</v>
      </c>
    </row>
    <row r="17" spans="2:11" ht="15" customHeight="1" x14ac:dyDescent="0.25">
      <c r="B17" s="43" t="b">
        <v>1</v>
      </c>
      <c r="C17" s="21">
        <f>IF(B17=TRUE,11,"")</f>
        <v>11</v>
      </c>
      <c r="D17" s="222" t="s">
        <v>421</v>
      </c>
      <c r="E17" s="26">
        <v>2021</v>
      </c>
      <c r="F17" s="185" t="s">
        <v>440</v>
      </c>
      <c r="G17" s="185"/>
      <c r="H17" s="217" t="s">
        <v>434</v>
      </c>
      <c r="I17" s="186" t="str">
        <f t="shared" si="0"/>
        <v>Fanhong Zeng, 2021</v>
      </c>
      <c r="J17" s="44">
        <f>IF(SUMMARY!B$17=TRUE,IF(SUM(CHARMS!AJ13,CHARMS!AJ15,CHARMS!AJ29,CHARMS!AJ37,CHARMS!AJ44,CHARMS!AJ49,CHARMS!AJ52,CHARMS!AJ57,CHARMS!AJ78,CHARMS!AJ83,CHARMS!AJ88)&lt;11,0,1))</f>
        <v>1</v>
      </c>
      <c r="K17" s="44">
        <f>IF(SUMMARY!B17=TRUE,IF(SUM(COUNTBLANK(PROBAST!L$16:L$17),COUNTBLANK(PROBAST!L$30:L$31),COUNTBLANK(PROBAST!L$44:L$45),COUNTBLANK(PROBAST!L$63))&gt;0,0,1))</f>
        <v>1</v>
      </c>
    </row>
    <row r="18" spans="2:11" ht="17.25" x14ac:dyDescent="0.25">
      <c r="B18" s="43" t="b">
        <v>1</v>
      </c>
      <c r="C18" s="21">
        <f>IF(B18=TRUE,12,"")</f>
        <v>12</v>
      </c>
      <c r="D18" s="213" t="s">
        <v>422</v>
      </c>
      <c r="E18" s="26">
        <v>2022</v>
      </c>
      <c r="F18" s="185" t="s">
        <v>453</v>
      </c>
      <c r="G18" s="185"/>
      <c r="H18" s="185" t="s">
        <v>455</v>
      </c>
      <c r="I18" s="186" t="str">
        <f t="shared" si="0"/>
        <v>Brian Lane, 2022</v>
      </c>
      <c r="J18" s="44">
        <f>IF(SUMMARY!B$18=TRUE,IF(SUM(CHARMS!AM13,CHARMS!AM15,CHARMS!AM29,CHARMS!AM37,CHARMS!AM44,CHARMS!AM49,CHARMS!AM52,CHARMS!AM57,CHARMS!AM78,CHARMS!AM83,CHARMS!AM88)&lt;11,0,1))</f>
        <v>0</v>
      </c>
      <c r="K18" s="44">
        <f>IF(SUMMARY!B18=TRUE,IF(SUM(COUNTBLANK(PROBAST!M$16:M$17),COUNTBLANK(PROBAST!M$30:M$31),COUNTBLANK(PROBAST!M$44:M$45),COUNTBLANK(PROBAST!M$63))&gt;0,0,1))</f>
        <v>1</v>
      </c>
    </row>
    <row r="19" spans="2:11" ht="17.25" x14ac:dyDescent="0.25">
      <c r="B19" s="43" t="b">
        <v>1</v>
      </c>
      <c r="C19" s="21">
        <f>IF(B19=TRUE,13,"")</f>
        <v>13</v>
      </c>
      <c r="D19" s="213" t="s">
        <v>423</v>
      </c>
      <c r="E19" s="26">
        <v>2022</v>
      </c>
      <c r="F19" s="185" t="s">
        <v>456</v>
      </c>
      <c r="G19" s="185"/>
      <c r="H19" s="217" t="s">
        <v>457</v>
      </c>
      <c r="I19" s="186" t="str">
        <f t="shared" si="0"/>
        <v>Ke Wang, 2022</v>
      </c>
      <c r="J19" s="44">
        <f>IF(SUMMARY!B$19=TRUE,IF(SUM(CHARMS!AP13,CHARMS!AP15,CHARMS!AP29,CHARMS!AP37,CHARMS!AP44,CHARMS!AP49,CHARMS!AP52,CHARMS!AP57,CHARMS!AP78,CHARMS!AP83,CHARMS!AP88)&lt;11,0,1))</f>
        <v>0</v>
      </c>
      <c r="K19" s="44">
        <f>IF(SUMMARY!B19=TRUE,IF(SUM(COUNTBLANK(PROBAST!N$16:N$17),COUNTBLANK(PROBAST!N$30:N$31),COUNTBLANK(PROBAST!N$44:N$45),COUNTBLANK(PROBAST!N$63))&gt;0,0,1))</f>
        <v>1</v>
      </c>
    </row>
    <row r="20" spans="2:11" x14ac:dyDescent="0.25">
      <c r="B20" s="43" t="b">
        <v>1</v>
      </c>
      <c r="C20" s="21">
        <f>IF(B20=TRUE,14,"")</f>
        <v>14</v>
      </c>
      <c r="D20" s="222" t="s">
        <v>437</v>
      </c>
      <c r="E20" s="26">
        <v>2022</v>
      </c>
      <c r="F20" s="185" t="s">
        <v>443</v>
      </c>
      <c r="G20" s="185"/>
      <c r="H20" s="217" t="s">
        <v>457</v>
      </c>
      <c r="I20" s="186" t="str">
        <f t="shared" si="0"/>
        <v>Xiong Tian, 2022</v>
      </c>
      <c r="J20" s="44">
        <f>IF(SUMMARY!B$20=TRUE,IF(SUM(CHARMS!AS13,CHARMS!AS15,CHARMS!AS29,CHARMS!AS37,CHARMS!AS44,CHARMS!AS49,CHARMS!AS52,CHARMS!AS57,CHARMS!AS78,CHARMS!AS83,CHARMS!AS88)&lt;11,0,1))</f>
        <v>0</v>
      </c>
      <c r="K20" s="44">
        <f>IF(SUMMARY!B20=TRUE,IF(SUM(COUNTBLANK(PROBAST!O$16:O$17),COUNTBLANK(PROBAST!O$30:O$31),COUNTBLANK(PROBAST!O$44:O$45),COUNTBLANK(PROBAST!O$63))&gt;0,0,1))</f>
        <v>1</v>
      </c>
    </row>
    <row r="21" spans="2:11" ht="17.25" x14ac:dyDescent="0.25">
      <c r="B21" s="43" t="b">
        <v>1</v>
      </c>
      <c r="C21" s="21">
        <f>IF(B21=TRUE,15,"")</f>
        <v>15</v>
      </c>
      <c r="D21" s="219" t="s">
        <v>424</v>
      </c>
      <c r="E21" s="26">
        <v>2021</v>
      </c>
      <c r="F21" s="185" t="s">
        <v>458</v>
      </c>
      <c r="G21" s="185"/>
      <c r="H21" s="185" t="s">
        <v>454</v>
      </c>
      <c r="I21" s="186" t="str">
        <f t="shared" si="0"/>
        <v>Dongjie Chen, 2021</v>
      </c>
      <c r="J21" s="44">
        <f>IF(SUMMARY!B$21=TRUE,IF(SUM(CHARMS!AV13,CHARMS!AV15,CHARMS!AV29,CHARMS!AV37,CHARMS!AV44,CHARMS!AV49,CHARMS!AV52,CHARMS!AV57,CHARMS!AV78,CHARMS!AV83,CHARMS!AV88)&lt;11,0,1))</f>
        <v>0</v>
      </c>
      <c r="K21" s="44">
        <f>IF(SUMMARY!B21=TRUE,IF(SUM(COUNTBLANK(PROBAST!P$16:P$17),COUNTBLANK(PROBAST!P$30:P$31),COUNTBLANK(PROBAST!P$44:P$45),COUNTBLANK(PROBAST!P$63))&gt;0,0,1))</f>
        <v>1</v>
      </c>
    </row>
    <row r="22" spans="2:11" ht="17.25" x14ac:dyDescent="0.25">
      <c r="B22" s="43" t="b">
        <v>1</v>
      </c>
      <c r="C22" s="21">
        <f>IF(B22=TRUE,16,"")</f>
        <v>16</v>
      </c>
      <c r="D22" s="219" t="s">
        <v>425</v>
      </c>
      <c r="E22" s="26">
        <v>2021</v>
      </c>
      <c r="F22" s="185" t="s">
        <v>459</v>
      </c>
      <c r="G22" s="185"/>
      <c r="H22" s="185" t="s">
        <v>457</v>
      </c>
      <c r="I22" s="186" t="str">
        <f t="shared" si="0"/>
        <v>Yanhong Shou, 2021</v>
      </c>
      <c r="J22" s="44">
        <f>IF(SUMMARY!B$22=TRUE,IF(SUM(CHARMS!AY13,CHARMS!AY15,CHARMS!AY29,CHARMS!AY37,CHARMS!AY44,CHARMS!AY49,CHARMS!AY52,CHARMS!AY57,CHARMS!AY78,CHARMS!AY83,CHARMS!AY88)&lt;11,0,1))</f>
        <v>0</v>
      </c>
      <c r="K22" s="44">
        <f>IF(SUMMARY!B22=TRUE,IF(SUM(COUNTBLANK(PROBAST!Q$16:Q$17),COUNTBLANK(PROBAST!Q$30:Q$31),COUNTBLANK(PROBAST!Q$44:Q$45),COUNTBLANK(PROBAST!Q$63))&gt;0,0,1))</f>
        <v>1</v>
      </c>
    </row>
    <row r="23" spans="2:11" ht="17.25" x14ac:dyDescent="0.25">
      <c r="B23" s="43" t="b">
        <v>1</v>
      </c>
      <c r="C23" s="21">
        <f>IF(B23=TRUE,17,"")</f>
        <v>17</v>
      </c>
      <c r="D23" s="219" t="s">
        <v>426</v>
      </c>
      <c r="E23" s="26">
        <v>2023</v>
      </c>
      <c r="F23" s="185" t="s">
        <v>460</v>
      </c>
      <c r="G23" s="185"/>
      <c r="H23" s="185" t="s">
        <v>414</v>
      </c>
      <c r="I23" s="186" t="str">
        <f t="shared" si="0"/>
        <v>Xiangqian Zhang, 2023</v>
      </c>
      <c r="J23" s="44">
        <f>IF(SUMMARY!B$23=TRUE,IF(SUM(CHARMS!BB13,CHARMS!BB15,CHARMS!BB29,CHARMS!BB37,CHARMS!BB44,CHARMS!BB49,CHARMS!BB52,CHARMS!BB57,CHARMS!BB78,CHARMS!BB83,CHARMS!BB88)&lt;11,0,1))</f>
        <v>0</v>
      </c>
      <c r="K23" s="44">
        <f>IF(SUMMARY!B23=TRUE,IF(SUM(COUNTBLANK(PROBAST!R$16:R$17),COUNTBLANK(PROBAST!R$30:R$31),COUNTBLANK(PROBAST!R$44:R$45),COUNTBLANK(PROBAST!R$63))&gt;0,0,1))</f>
        <v>1</v>
      </c>
    </row>
    <row r="24" spans="2:11" ht="17.25" x14ac:dyDescent="0.25">
      <c r="B24" s="43" t="b">
        <v>1</v>
      </c>
      <c r="C24" s="21">
        <f>IF(B24=TRUE,18,"")</f>
        <v>18</v>
      </c>
      <c r="D24" s="213" t="s">
        <v>427</v>
      </c>
      <c r="E24" s="26">
        <v>2022</v>
      </c>
      <c r="F24" s="185" t="s">
        <v>462</v>
      </c>
      <c r="G24" s="185"/>
      <c r="H24" s="223" t="s">
        <v>457</v>
      </c>
      <c r="I24" s="186" t="str">
        <f t="shared" si="0"/>
        <v>Chenyu Nie, 2022</v>
      </c>
      <c r="J24" s="44">
        <f>IF(SUMMARY!B$24=TRUE,IF(SUM(CHARMS!BE13,CHARMS!BE15,CHARMS!BE29,CHARMS!BE37,CHARMS!BE44,CHARMS!BE49,CHARMS!BE52,CHARMS!BE57,CHARMS!BE78,CHARMS!BE83,CHARMS!BE88)&lt;11,0,1))</f>
        <v>0</v>
      </c>
      <c r="K24" s="44">
        <f>IF(SUMMARY!B24=TRUE,IF(SUM(COUNTBLANK(PROBAST!S$16:S$17),COUNTBLANK(PROBAST!S$30:S$31),COUNTBLANK(PROBAST!S$44:S$45),COUNTBLANK(PROBAST!S$63))&gt;0,0,1))</f>
        <v>1</v>
      </c>
    </row>
    <row r="25" spans="2:11" ht="17.25" x14ac:dyDescent="0.25">
      <c r="B25" s="43" t="b">
        <v>1</v>
      </c>
      <c r="C25" s="21">
        <f>IF(B25=TRUE,19,"")</f>
        <v>19</v>
      </c>
      <c r="D25" s="219" t="s">
        <v>428</v>
      </c>
      <c r="E25" s="26">
        <v>2021</v>
      </c>
      <c r="F25" s="185" t="s">
        <v>463</v>
      </c>
      <c r="G25" s="185"/>
      <c r="H25" s="185" t="s">
        <v>457</v>
      </c>
      <c r="I25" s="186" t="str">
        <f t="shared" si="0"/>
        <v>Jinman Zhong, 2021</v>
      </c>
      <c r="J25" s="44">
        <f>IF(SUMMARY!B$25=TRUE,IF(SUM(CHARMS!BH13,CHARMS!BH15,CHARMS!BH29,CHARMS!BH37,CHARMS!BH44,CHARMS!BH49,CHARMS!BH52,CHARMS!BH57,CHARMS!BH78,CHARMS!BH83,CHARMS!BH88)&lt;11,0,1))</f>
        <v>0</v>
      </c>
      <c r="K25" s="44">
        <f>IF(SUMMARY!B25=TRUE,IF(SUM(COUNTBLANK(PROBAST!T$16:T$17),COUNTBLANK(PROBAST!T$30:T$31),COUNTBLANK(PROBAST!T$44:T$45),COUNTBLANK(PROBAST!T$63))&gt;0,0,1))</f>
        <v>1</v>
      </c>
    </row>
    <row r="26" spans="2:11" ht="17.25" x14ac:dyDescent="0.25">
      <c r="B26" s="43" t="b">
        <v>1</v>
      </c>
      <c r="C26" s="21">
        <f>IF(B26=TRUE,20,"")</f>
        <v>20</v>
      </c>
      <c r="D26" s="219" t="s">
        <v>429</v>
      </c>
      <c r="E26" s="26">
        <v>2021</v>
      </c>
      <c r="F26" s="185" t="s">
        <v>464</v>
      </c>
      <c r="G26" s="185"/>
      <c r="H26" s="185" t="s">
        <v>457</v>
      </c>
      <c r="I26" s="186" t="str">
        <f t="shared" si="0"/>
        <v>Xia Yang, 2021</v>
      </c>
      <c r="J26" s="44">
        <f>IF(SUMMARY!B$26=TRUE,IF(SUM(CHARMS!BK13,CHARMS!BK15,CHARMS!BK29,CHARMS!BK37,CHARMS!BK44,CHARMS!BK49,CHARMS!BK52,CHARMS!BK57,CHARMS!BK78,CHARMS!BK83,CHARMS!BK88)&lt;11,0,1))</f>
        <v>0</v>
      </c>
      <c r="K26" s="44">
        <f>IF(SUMMARY!B26=TRUE,IF(SUM(COUNTBLANK(PROBAST!U$16:U$17),COUNTBLANK(PROBAST!U$30:U$31),COUNTBLANK(PROBAST!U$44:U$45),COUNTBLANK(PROBAST!U$63))&gt;0,0,1))</f>
        <v>1</v>
      </c>
    </row>
    <row r="27" spans="2:11" x14ac:dyDescent="0.25">
      <c r="B27" s="43" t="b">
        <v>1</v>
      </c>
      <c r="C27" s="21">
        <f>IF(B27=TRUE,21,"")</f>
        <v>21</v>
      </c>
      <c r="D27" s="224"/>
      <c r="E27" s="224"/>
      <c r="F27" s="185"/>
      <c r="G27" s="185"/>
      <c r="H27" s="185"/>
      <c r="I27" s="186" t="str">
        <f>IF(D11="","",CONCATENATE(D11,", ",E11))</f>
        <v>Zhi Liu (21) X7, 2021</v>
      </c>
      <c r="J27" s="44">
        <f>IF(SUMMARY!B$27=TRUE,IF(SUM(CHARMS!BN13,CHARMS!BN15,CHARMS!BN29,CHARMS!BN37,CHARMS!BN44,CHARMS!BN49,CHARMS!BN52,CHARMS!BN57,CHARMS!BN78,CHARMS!BN83,CHARMS!BN88)&lt;11,0,1))</f>
        <v>0</v>
      </c>
      <c r="K27" s="44">
        <f>IF(SUMMARY!B27=TRUE,IF(SUM(COUNTBLANK(PROBAST!V$16:V$17),COUNTBLANK(PROBAST!V$30:V$31),COUNTBLANK(PROBAST!V$44:V$45),COUNTBLANK(PROBAST!V$63))&gt;0,0,1))</f>
        <v>0</v>
      </c>
    </row>
    <row r="28" spans="2:11" x14ac:dyDescent="0.25">
      <c r="B28" s="43" t="b">
        <v>0</v>
      </c>
      <c r="C28" s="21" t="str">
        <f>IF(B28=TRUE,22,"")</f>
        <v/>
      </c>
      <c r="D28" s="22" t="s">
        <v>409</v>
      </c>
      <c r="E28" s="26">
        <v>2018</v>
      </c>
      <c r="F28" s="185" t="s">
        <v>23</v>
      </c>
      <c r="G28" s="185" t="s">
        <v>24</v>
      </c>
      <c r="H28" s="185" t="s">
        <v>25</v>
      </c>
      <c r="I28" s="186" t="str">
        <f t="shared" si="0"/>
        <v>Fernández-Hidalgo (b), 2018</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10 C11 F11:K11 C12:K26 C27 F27:K27 C28:K36">
    <cfRule type="expression" dxfId="701" priority="3">
      <formula>$B7=FALSE</formula>
    </cfRule>
  </conditionalFormatting>
  <conditionalFormatting sqref="D11:E11">
    <cfRule type="expression" dxfId="700" priority="1962">
      <formula>$B27=FALSE</formula>
    </cfRule>
  </conditionalFormatting>
  <conditionalFormatting sqref="I3:I4">
    <cfRule type="iconSet" priority="1">
      <iconSet iconSet="3Symbols" showValue="0">
        <cfvo type="percent" val="0"/>
        <cfvo type="num" val="0"/>
        <cfvo type="num" val="1"/>
      </iconSet>
    </cfRule>
  </conditionalFormatting>
  <conditionalFormatting sqref="J7:K36">
    <cfRule type="iconSet" priority="2">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17</xdr:row>
                    <xdr:rowOff>190500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18</xdr:row>
                    <xdr:rowOff>190500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20</xdr:row>
                    <xdr:rowOff>190500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21</xdr:row>
                    <xdr:rowOff>190500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22</xdr:row>
                    <xdr:rowOff>190500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23</xdr:row>
                    <xdr:rowOff>190500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24</xdr:row>
                    <xdr:rowOff>190500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25</xdr:row>
                    <xdr:rowOff>190500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8264-C632-4C84-8A1E-6B92595A12E8}">
  <dimension ref="A1:W40"/>
  <sheetViews>
    <sheetView tabSelected="1" topLeftCell="M21" workbookViewId="0">
      <selection activeCell="Q33" sqref="Q33:R39"/>
    </sheetView>
  </sheetViews>
  <sheetFormatPr defaultRowHeight="15" x14ac:dyDescent="0.25"/>
  <cols>
    <col min="14" max="14" width="17.5703125" customWidth="1"/>
    <col min="16" max="16" width="25.5703125" customWidth="1"/>
    <col min="18" max="18" width="25.5703125" customWidth="1"/>
    <col min="20" max="20" width="15.85546875" customWidth="1"/>
    <col min="22" max="22" width="45.42578125" customWidth="1"/>
  </cols>
  <sheetData>
    <row r="1" spans="1:23" x14ac:dyDescent="0.25">
      <c r="A1" s="210"/>
      <c r="B1" s="26"/>
      <c r="C1" s="185"/>
      <c r="D1" s="185"/>
    </row>
    <row r="2" spans="1:23" x14ac:dyDescent="0.25">
      <c r="A2" s="22"/>
      <c r="B2" s="26"/>
      <c r="C2" s="185"/>
      <c r="D2" s="185"/>
    </row>
    <row r="3" spans="1:23" ht="17.25" x14ac:dyDescent="0.25">
      <c r="A3" s="213"/>
      <c r="B3" s="26"/>
      <c r="C3" s="214"/>
      <c r="D3" s="185"/>
    </row>
    <row r="4" spans="1:23" ht="17.25" x14ac:dyDescent="0.25">
      <c r="A4" s="216"/>
      <c r="B4" s="26"/>
      <c r="C4" s="217"/>
      <c r="D4" s="185"/>
      <c r="J4" t="s">
        <v>461</v>
      </c>
    </row>
    <row r="5" spans="1:23" x14ac:dyDescent="0.25">
      <c r="A5" s="22"/>
      <c r="B5" s="26"/>
      <c r="C5" s="185"/>
      <c r="D5" s="185"/>
    </row>
    <row r="6" spans="1:23" ht="17.25" x14ac:dyDescent="0.25">
      <c r="A6" s="213"/>
      <c r="B6" s="26"/>
      <c r="C6" s="185"/>
      <c r="D6" s="185"/>
    </row>
    <row r="7" spans="1:23" ht="18" thickBot="1" x14ac:dyDescent="0.3">
      <c r="A7" s="219"/>
      <c r="B7" s="26"/>
      <c r="C7" s="220"/>
      <c r="D7" s="185"/>
    </row>
    <row r="8" spans="1:23" ht="18" thickBot="1" x14ac:dyDescent="0.3">
      <c r="A8" s="219"/>
      <c r="B8" s="26"/>
      <c r="C8" s="185"/>
      <c r="D8" s="185"/>
      <c r="N8" s="225" t="s">
        <v>465</v>
      </c>
      <c r="O8" s="225" t="s">
        <v>466</v>
      </c>
      <c r="P8" s="225" t="s">
        <v>467</v>
      </c>
      <c r="Q8" s="225" t="s">
        <v>486</v>
      </c>
      <c r="U8" s="230" t="s">
        <v>478</v>
      </c>
    </row>
    <row r="9" spans="1:23" ht="18" thickBot="1" x14ac:dyDescent="0.3">
      <c r="A9" s="213"/>
      <c r="B9" s="26"/>
      <c r="C9" s="217"/>
      <c r="D9" s="185"/>
      <c r="F9" s="210" t="s">
        <v>410</v>
      </c>
      <c r="G9" s="26">
        <v>2019</v>
      </c>
      <c r="H9" s="185" t="s">
        <v>430</v>
      </c>
      <c r="N9" s="226" t="s">
        <v>428</v>
      </c>
      <c r="O9" s="226">
        <v>2021</v>
      </c>
      <c r="P9" s="226" t="s">
        <v>457</v>
      </c>
      <c r="Q9" s="226" t="s">
        <v>485</v>
      </c>
    </row>
    <row r="10" spans="1:23" ht="18" thickBot="1" x14ac:dyDescent="0.3">
      <c r="A10" s="213"/>
      <c r="B10" s="26"/>
      <c r="C10" s="221"/>
      <c r="D10" s="185"/>
      <c r="F10" s="22" t="s">
        <v>436</v>
      </c>
      <c r="G10" s="26">
        <v>2013</v>
      </c>
      <c r="H10" s="185" t="s">
        <v>411</v>
      </c>
      <c r="N10" s="226" t="s">
        <v>490</v>
      </c>
      <c r="O10" s="226">
        <v>2021</v>
      </c>
      <c r="P10" s="226" t="s">
        <v>457</v>
      </c>
      <c r="Q10" s="226" t="s">
        <v>487</v>
      </c>
      <c r="R10" s="227"/>
      <c r="T10" s="225" t="s">
        <v>465</v>
      </c>
      <c r="U10" s="225" t="s">
        <v>466</v>
      </c>
      <c r="V10" s="225" t="s">
        <v>467</v>
      </c>
      <c r="W10" s="177" t="s">
        <v>486</v>
      </c>
    </row>
    <row r="11" spans="1:23" ht="18" thickBot="1" x14ac:dyDescent="0.3">
      <c r="A11" s="222"/>
      <c r="B11" s="26"/>
      <c r="C11" s="217"/>
      <c r="D11" s="185"/>
      <c r="F11" s="213" t="s">
        <v>412</v>
      </c>
      <c r="G11" s="26">
        <v>2021</v>
      </c>
      <c r="H11" s="214" t="s">
        <v>431</v>
      </c>
      <c r="N11" s="226" t="s">
        <v>429</v>
      </c>
      <c r="O11" s="226">
        <v>2021</v>
      </c>
      <c r="P11" s="226" t="s">
        <v>457</v>
      </c>
      <c r="Q11" s="226" t="s">
        <v>492</v>
      </c>
      <c r="R11" s="228"/>
      <c r="T11" s="226" t="s">
        <v>412</v>
      </c>
      <c r="U11" s="226">
        <v>2021</v>
      </c>
      <c r="V11" s="226" t="s">
        <v>431</v>
      </c>
      <c r="W11" t="s">
        <v>475</v>
      </c>
    </row>
    <row r="12" spans="1:23" ht="18" thickBot="1" x14ac:dyDescent="0.3">
      <c r="A12" s="213"/>
      <c r="B12" s="26"/>
      <c r="C12" s="185"/>
      <c r="D12" s="185"/>
      <c r="F12" s="216" t="s">
        <v>413</v>
      </c>
      <c r="G12" s="26">
        <v>2020</v>
      </c>
      <c r="H12" s="217" t="s">
        <v>447</v>
      </c>
      <c r="N12" s="226" t="s">
        <v>415</v>
      </c>
      <c r="O12" s="226">
        <v>2022</v>
      </c>
      <c r="P12" s="226" t="s">
        <v>470</v>
      </c>
      <c r="Q12" s="226" t="s">
        <v>492</v>
      </c>
      <c r="T12" s="226" t="s">
        <v>413</v>
      </c>
      <c r="U12" s="226">
        <v>2020</v>
      </c>
      <c r="V12" s="226" t="s">
        <v>447</v>
      </c>
      <c r="W12" s="227" t="s">
        <v>483</v>
      </c>
    </row>
    <row r="13" spans="1:23" ht="18" thickBot="1" x14ac:dyDescent="0.3">
      <c r="A13" s="213"/>
      <c r="B13" s="26"/>
      <c r="C13" s="217"/>
      <c r="D13" s="185"/>
      <c r="F13" s="22" t="s">
        <v>448</v>
      </c>
      <c r="G13" s="26">
        <v>2021</v>
      </c>
      <c r="H13" s="185" t="s">
        <v>433</v>
      </c>
      <c r="N13" s="226" t="s">
        <v>412</v>
      </c>
      <c r="O13" s="226">
        <v>2021</v>
      </c>
      <c r="P13" s="226" t="s">
        <v>496</v>
      </c>
      <c r="Q13" s="226" t="s">
        <v>489</v>
      </c>
      <c r="T13" s="226" t="s">
        <v>448</v>
      </c>
      <c r="U13" s="226">
        <v>2021</v>
      </c>
      <c r="V13" s="226" t="s">
        <v>457</v>
      </c>
      <c r="W13" s="228" t="s">
        <v>487</v>
      </c>
    </row>
    <row r="14" spans="1:23" ht="18" thickBot="1" x14ac:dyDescent="0.3">
      <c r="A14" s="213"/>
      <c r="B14" s="26"/>
      <c r="C14" s="217"/>
      <c r="D14" s="185"/>
      <c r="F14" s="213" t="s">
        <v>415</v>
      </c>
      <c r="G14" s="26">
        <v>2022</v>
      </c>
      <c r="H14" s="185" t="s">
        <v>432</v>
      </c>
      <c r="N14" s="226" t="s">
        <v>427</v>
      </c>
      <c r="O14" s="226">
        <v>2022</v>
      </c>
      <c r="P14" s="226" t="s">
        <v>457</v>
      </c>
      <c r="Q14" s="226" t="s">
        <v>493</v>
      </c>
      <c r="T14" s="226" t="s">
        <v>425</v>
      </c>
      <c r="U14" s="226">
        <v>2021</v>
      </c>
      <c r="V14" s="226" t="s">
        <v>457</v>
      </c>
      <c r="W14" t="s">
        <v>482</v>
      </c>
    </row>
    <row r="15" spans="1:23" ht="18" thickBot="1" x14ac:dyDescent="0.3">
      <c r="A15" s="219"/>
      <c r="B15" s="26"/>
      <c r="C15" s="185"/>
      <c r="D15" s="185"/>
      <c r="F15" s="219" t="s">
        <v>416</v>
      </c>
      <c r="G15" s="26">
        <v>2021</v>
      </c>
      <c r="H15" s="220" t="s">
        <v>417</v>
      </c>
      <c r="N15" s="226" t="s">
        <v>413</v>
      </c>
      <c r="O15" s="226">
        <v>2020</v>
      </c>
      <c r="P15" s="226" t="s">
        <v>497</v>
      </c>
      <c r="Q15" s="226" t="s">
        <v>483</v>
      </c>
      <c r="T15" s="226" t="s">
        <v>428</v>
      </c>
      <c r="U15" s="226">
        <v>2021</v>
      </c>
      <c r="V15" s="226" t="s">
        <v>457</v>
      </c>
      <c r="W15" t="s">
        <v>485</v>
      </c>
    </row>
    <row r="16" spans="1:23" ht="18" thickBot="1" x14ac:dyDescent="0.3">
      <c r="A16" s="219"/>
      <c r="B16" s="26"/>
      <c r="C16" s="185"/>
      <c r="D16" s="185"/>
      <c r="F16" s="219" t="s">
        <v>418</v>
      </c>
      <c r="G16" s="26">
        <v>2021</v>
      </c>
      <c r="H16" s="185" t="s">
        <v>414</v>
      </c>
      <c r="N16" s="226" t="s">
        <v>426</v>
      </c>
      <c r="O16" s="226">
        <v>2023</v>
      </c>
      <c r="P16" s="226" t="s">
        <v>435</v>
      </c>
      <c r="Q16" s="226" t="s">
        <v>483</v>
      </c>
      <c r="T16" s="226" t="s">
        <v>429</v>
      </c>
      <c r="U16" s="226">
        <v>2021</v>
      </c>
      <c r="V16" s="226" t="s">
        <v>457</v>
      </c>
      <c r="W16" t="s">
        <v>476</v>
      </c>
    </row>
    <row r="17" spans="1:23" ht="18" thickBot="1" x14ac:dyDescent="0.3">
      <c r="A17" s="219"/>
      <c r="B17" s="26"/>
      <c r="C17" s="185"/>
      <c r="D17" s="185"/>
      <c r="F17" s="213" t="s">
        <v>419</v>
      </c>
      <c r="G17" s="26">
        <v>2020</v>
      </c>
      <c r="H17" s="217" t="s">
        <v>438</v>
      </c>
      <c r="N17" s="226" t="s">
        <v>423</v>
      </c>
      <c r="O17" s="226">
        <v>2022</v>
      </c>
      <c r="P17" s="226" t="s">
        <v>457</v>
      </c>
      <c r="Q17" s="226" t="s">
        <v>479</v>
      </c>
      <c r="T17" s="226" t="s">
        <v>423</v>
      </c>
      <c r="U17" s="226">
        <v>2022</v>
      </c>
      <c r="V17" s="226" t="s">
        <v>457</v>
      </c>
      <c r="W17" t="s">
        <v>479</v>
      </c>
    </row>
    <row r="18" spans="1:23" ht="18" thickBot="1" x14ac:dyDescent="0.3">
      <c r="A18" s="213"/>
      <c r="B18" s="26"/>
      <c r="C18" s="221"/>
      <c r="D18" s="185"/>
      <c r="F18" s="213" t="s">
        <v>420</v>
      </c>
      <c r="G18" s="26">
        <v>2021</v>
      </c>
      <c r="H18" s="221" t="s">
        <v>414</v>
      </c>
      <c r="N18" s="226" t="s">
        <v>436</v>
      </c>
      <c r="O18" s="226">
        <v>2013</v>
      </c>
      <c r="P18" s="226" t="s">
        <v>494</v>
      </c>
      <c r="Q18" s="230" t="s">
        <v>479</v>
      </c>
      <c r="T18" s="226" t="s">
        <v>427</v>
      </c>
      <c r="U18" s="226">
        <v>2022</v>
      </c>
      <c r="V18" s="226" t="s">
        <v>457</v>
      </c>
      <c r="W18" t="s">
        <v>484</v>
      </c>
    </row>
    <row r="19" spans="1:23" ht="18" thickBot="1" x14ac:dyDescent="0.3">
      <c r="A19" s="219"/>
      <c r="B19" s="26"/>
      <c r="C19" s="185"/>
      <c r="D19" s="185"/>
      <c r="F19" s="222" t="s">
        <v>421</v>
      </c>
      <c r="G19" s="26">
        <v>2021</v>
      </c>
      <c r="H19" s="217" t="s">
        <v>434</v>
      </c>
      <c r="N19" s="226" t="s">
        <v>421</v>
      </c>
      <c r="O19" s="226">
        <v>2021</v>
      </c>
      <c r="P19" s="226" t="s">
        <v>455</v>
      </c>
      <c r="Q19" s="226" t="s">
        <v>478</v>
      </c>
      <c r="T19" s="226" t="s">
        <v>437</v>
      </c>
      <c r="U19" s="226">
        <v>2022</v>
      </c>
      <c r="V19" s="226" t="s">
        <v>457</v>
      </c>
      <c r="W19" t="s">
        <v>480</v>
      </c>
    </row>
    <row r="20" spans="1:23" ht="18" thickBot="1" x14ac:dyDescent="0.3">
      <c r="A20" s="219"/>
      <c r="B20" s="26"/>
      <c r="C20" s="185"/>
      <c r="D20" s="185"/>
      <c r="F20" s="213" t="s">
        <v>422</v>
      </c>
      <c r="G20" s="26">
        <v>2022</v>
      </c>
      <c r="H20" s="185" t="s">
        <v>455</v>
      </c>
      <c r="N20" s="226" t="s">
        <v>419</v>
      </c>
      <c r="O20" s="226">
        <v>2020</v>
      </c>
      <c r="P20" s="226" t="s">
        <v>495</v>
      </c>
      <c r="Q20" s="226" t="s">
        <v>478</v>
      </c>
      <c r="T20" s="226" t="s">
        <v>421</v>
      </c>
      <c r="U20" s="226">
        <v>2021</v>
      </c>
      <c r="V20" s="226" t="s">
        <v>455</v>
      </c>
      <c r="W20" t="s">
        <v>478</v>
      </c>
    </row>
    <row r="21" spans="1:23" ht="18" thickBot="1" x14ac:dyDescent="0.3">
      <c r="F21" s="213" t="s">
        <v>423</v>
      </c>
      <c r="G21" s="26">
        <v>2022</v>
      </c>
      <c r="H21" s="217" t="s">
        <v>457</v>
      </c>
      <c r="N21" s="226" t="s">
        <v>420</v>
      </c>
      <c r="O21" s="226">
        <v>2021</v>
      </c>
      <c r="P21" s="226" t="s">
        <v>438</v>
      </c>
      <c r="Q21" s="226" t="s">
        <v>478</v>
      </c>
      <c r="T21" s="226" t="s">
        <v>422</v>
      </c>
      <c r="U21" s="226">
        <v>2022</v>
      </c>
      <c r="V21" s="226" t="s">
        <v>455</v>
      </c>
      <c r="W21" t="s">
        <v>477</v>
      </c>
    </row>
    <row r="22" spans="1:23" ht="15.75" thickBot="1" x14ac:dyDescent="0.3">
      <c r="F22" s="222" t="s">
        <v>437</v>
      </c>
      <c r="G22" s="26">
        <v>2022</v>
      </c>
      <c r="H22" s="217" t="s">
        <v>444</v>
      </c>
      <c r="N22" s="226" t="s">
        <v>410</v>
      </c>
      <c r="O22" s="226">
        <v>2019</v>
      </c>
      <c r="P22" s="226" t="s">
        <v>498</v>
      </c>
      <c r="Q22" s="226" t="s">
        <v>474</v>
      </c>
      <c r="T22" s="226" t="s">
        <v>418</v>
      </c>
      <c r="U22" s="226">
        <v>2021</v>
      </c>
      <c r="V22" s="226" t="s">
        <v>472</v>
      </c>
      <c r="W22" t="s">
        <v>473</v>
      </c>
    </row>
    <row r="23" spans="1:23" ht="18" thickBot="1" x14ac:dyDescent="0.3">
      <c r="F23" s="219" t="s">
        <v>424</v>
      </c>
      <c r="G23" s="26">
        <v>2021</v>
      </c>
      <c r="H23" s="185" t="s">
        <v>454</v>
      </c>
      <c r="N23" s="226" t="s">
        <v>418</v>
      </c>
      <c r="O23" s="226">
        <v>2021</v>
      </c>
      <c r="P23" s="226" t="s">
        <v>472</v>
      </c>
      <c r="Q23" s="226" t="s">
        <v>473</v>
      </c>
      <c r="T23" s="226" t="s">
        <v>410</v>
      </c>
      <c r="U23" s="226">
        <v>2019</v>
      </c>
      <c r="V23" s="226" t="s">
        <v>469</v>
      </c>
      <c r="W23" t="s">
        <v>474</v>
      </c>
    </row>
    <row r="24" spans="1:23" ht="18" thickBot="1" x14ac:dyDescent="0.3">
      <c r="F24" s="219" t="s">
        <v>425</v>
      </c>
      <c r="G24" s="26">
        <v>2021</v>
      </c>
      <c r="H24" s="185" t="s">
        <v>457</v>
      </c>
      <c r="N24" s="226" t="s">
        <v>422</v>
      </c>
      <c r="O24" s="226">
        <v>2022</v>
      </c>
      <c r="P24" s="226" t="s">
        <v>455</v>
      </c>
      <c r="Q24" s="226" t="s">
        <v>477</v>
      </c>
      <c r="T24" s="226" t="s">
        <v>415</v>
      </c>
      <c r="U24" s="226">
        <v>2022</v>
      </c>
      <c r="V24" s="226" t="s">
        <v>470</v>
      </c>
      <c r="W24" t="s">
        <v>476</v>
      </c>
    </row>
    <row r="25" spans="1:23" ht="18" thickBot="1" x14ac:dyDescent="0.35">
      <c r="F25" s="219" t="s">
        <v>426</v>
      </c>
      <c r="G25" s="26">
        <v>2023</v>
      </c>
      <c r="H25" s="185" t="s">
        <v>414</v>
      </c>
      <c r="N25" s="226" t="s">
        <v>468</v>
      </c>
      <c r="O25" s="226">
        <v>2021</v>
      </c>
      <c r="P25" s="226" t="s">
        <v>438</v>
      </c>
      <c r="Q25" s="226" t="s">
        <v>477</v>
      </c>
      <c r="R25" s="229"/>
      <c r="T25" s="226" t="s">
        <v>419</v>
      </c>
      <c r="U25" s="226">
        <v>2020</v>
      </c>
      <c r="V25" s="226" t="s">
        <v>438</v>
      </c>
      <c r="W25" t="s">
        <v>478</v>
      </c>
    </row>
    <row r="26" spans="1:23" ht="18" thickBot="1" x14ac:dyDescent="0.3">
      <c r="F26" s="213" t="s">
        <v>427</v>
      </c>
      <c r="G26" s="26">
        <v>2022</v>
      </c>
      <c r="H26" s="223" t="s">
        <v>457</v>
      </c>
      <c r="N26" s="226" t="s">
        <v>425</v>
      </c>
      <c r="O26" s="226">
        <v>2021</v>
      </c>
      <c r="P26" s="226" t="s">
        <v>457</v>
      </c>
      <c r="Q26" s="226" t="s">
        <v>491</v>
      </c>
      <c r="T26" s="226" t="s">
        <v>468</v>
      </c>
      <c r="U26" s="226">
        <v>2021</v>
      </c>
      <c r="V26" s="226" t="s">
        <v>438</v>
      </c>
      <c r="W26" t="s">
        <v>477</v>
      </c>
    </row>
    <row r="27" spans="1:23" ht="18" thickBot="1" x14ac:dyDescent="0.35">
      <c r="F27" s="219" t="s">
        <v>428</v>
      </c>
      <c r="G27" s="26">
        <v>2021</v>
      </c>
      <c r="H27" s="185" t="s">
        <v>457</v>
      </c>
      <c r="N27" s="226" t="s">
        <v>437</v>
      </c>
      <c r="O27" s="226">
        <v>2022</v>
      </c>
      <c r="P27" s="226" t="s">
        <v>457</v>
      </c>
      <c r="Q27" s="226" t="s">
        <v>480</v>
      </c>
      <c r="T27" s="226" t="s">
        <v>424</v>
      </c>
      <c r="U27" s="226">
        <v>2021</v>
      </c>
      <c r="V27" s="226" t="s">
        <v>438</v>
      </c>
      <c r="W27" s="229" t="s">
        <v>481</v>
      </c>
    </row>
    <row r="28" spans="1:23" ht="18" thickBot="1" x14ac:dyDescent="0.3">
      <c r="F28" s="219" t="s">
        <v>429</v>
      </c>
      <c r="G28" s="26">
        <v>2021</v>
      </c>
      <c r="H28" s="185" t="s">
        <v>457</v>
      </c>
      <c r="N28" s="226" t="s">
        <v>424</v>
      </c>
      <c r="O28" s="226">
        <v>2021</v>
      </c>
      <c r="P28" s="226" t="s">
        <v>438</v>
      </c>
      <c r="Q28" s="226" t="s">
        <v>481</v>
      </c>
      <c r="T28" s="226" t="s">
        <v>420</v>
      </c>
      <c r="U28" s="226">
        <v>2021</v>
      </c>
      <c r="V28" s="226" t="s">
        <v>438</v>
      </c>
      <c r="W28" t="s">
        <v>478</v>
      </c>
    </row>
    <row r="29" spans="1:23" ht="15.75" thickBot="1" x14ac:dyDescent="0.3">
      <c r="T29" s="226" t="s">
        <v>426</v>
      </c>
      <c r="U29" s="226">
        <v>2023</v>
      </c>
      <c r="V29" s="226" t="s">
        <v>435</v>
      </c>
      <c r="W29" t="s">
        <v>483</v>
      </c>
    </row>
    <row r="30" spans="1:23" ht="15.75" thickBot="1" x14ac:dyDescent="0.3">
      <c r="T30" s="226" t="s">
        <v>436</v>
      </c>
      <c r="U30" s="226">
        <v>2013</v>
      </c>
      <c r="V30" s="226" t="s">
        <v>411</v>
      </c>
      <c r="W30" t="s">
        <v>488</v>
      </c>
    </row>
    <row r="32" spans="1:23" ht="15.75" thickBot="1" x14ac:dyDescent="0.3"/>
    <row r="33" spans="17:18" ht="15.75" thickBot="1" x14ac:dyDescent="0.3">
      <c r="Q33" s="412" t="s">
        <v>20</v>
      </c>
      <c r="R33" t="s">
        <v>506</v>
      </c>
    </row>
    <row r="34" spans="17:18" ht="29.25" thickBot="1" x14ac:dyDescent="0.3">
      <c r="Q34" s="413" t="s">
        <v>500</v>
      </c>
      <c r="R34" t="s">
        <v>507</v>
      </c>
    </row>
    <row r="35" spans="17:18" ht="29.25" thickBot="1" x14ac:dyDescent="0.3">
      <c r="Q35" s="413" t="s">
        <v>501</v>
      </c>
      <c r="R35" t="s">
        <v>508</v>
      </c>
    </row>
    <row r="36" spans="17:18" ht="29.25" thickBot="1" x14ac:dyDescent="0.3">
      <c r="Q36" s="413" t="s">
        <v>502</v>
      </c>
      <c r="R36" t="s">
        <v>509</v>
      </c>
    </row>
    <row r="37" spans="17:18" ht="28.5" x14ac:dyDescent="0.25">
      <c r="Q37" s="414" t="s">
        <v>504</v>
      </c>
      <c r="R37" t="s">
        <v>499</v>
      </c>
    </row>
    <row r="38" spans="17:18" ht="29.25" thickBot="1" x14ac:dyDescent="0.3">
      <c r="Q38" s="413" t="s">
        <v>503</v>
      </c>
      <c r="R38" t="s">
        <v>510</v>
      </c>
    </row>
    <row r="39" spans="17:18" ht="29.25" thickBot="1" x14ac:dyDescent="0.3">
      <c r="Q39" s="413" t="s">
        <v>505</v>
      </c>
      <c r="R39" s="415" t="s">
        <v>511</v>
      </c>
    </row>
    <row r="40" spans="17:18" ht="15.75" thickBot="1" x14ac:dyDescent="0.3">
      <c r="Q40" s="413"/>
    </row>
  </sheetData>
  <sortState xmlns:xlrd2="http://schemas.microsoft.com/office/spreadsheetml/2017/richdata2" ref="N9:Q28">
    <sortCondition ref="Q9:Q28"/>
  </sortState>
  <conditionalFormatting sqref="A1:D20">
    <cfRule type="expression" dxfId="699" priority="4">
      <formula>$B1=FALSE</formula>
    </cfRule>
  </conditionalFormatting>
  <conditionalFormatting sqref="F9:G12 F14:G28">
    <cfRule type="expression" dxfId="698" priority="2">
      <formula>$B9=FALSE</formula>
    </cfRule>
  </conditionalFormatting>
  <conditionalFormatting sqref="F13:G13">
    <cfRule type="expression" dxfId="697" priority="3">
      <formula>$B29=FALSE</formula>
    </cfRule>
  </conditionalFormatting>
  <conditionalFormatting sqref="H9:H28">
    <cfRule type="expression" dxfId="696" priority="1">
      <formula>$B9=FALSE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7" activePane="bottomRight" state="frozen"/>
      <selection pane="topRight" activeCell="F1" sqref="F1"/>
      <selection pane="bottomLeft" activeCell="A5" sqref="A5"/>
      <selection pane="bottomRight" activeCell="F33" sqref="F33:H33"/>
    </sheetView>
  </sheetViews>
  <sheetFormatPr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295" t="s">
        <v>26</v>
      </c>
      <c r="B3" s="295"/>
      <c r="C3" s="295"/>
      <c r="D3" s="295"/>
      <c r="E3" s="296"/>
    </row>
    <row r="4" spans="1:95" s="10" customFormat="1" x14ac:dyDescent="0.25">
      <c r="A4" s="40"/>
      <c r="B4" s="40"/>
      <c r="C4" s="9"/>
      <c r="D4" s="9"/>
      <c r="E4" s="9"/>
    </row>
    <row r="5" spans="1:95" s="10" customFormat="1" ht="17.25" customHeight="1" thickBot="1" x14ac:dyDescent="0.3">
      <c r="A5" s="7" t="s">
        <v>27</v>
      </c>
      <c r="B5" s="8"/>
      <c r="C5" s="7"/>
      <c r="D5" s="9"/>
      <c r="E5" s="9"/>
    </row>
    <row r="6" spans="1:95" s="14" customFormat="1" ht="30" customHeight="1" x14ac:dyDescent="0.2">
      <c r="A6" s="59" t="s">
        <v>28</v>
      </c>
      <c r="B6" s="60" t="s">
        <v>29</v>
      </c>
      <c r="C6" s="60" t="s">
        <v>30</v>
      </c>
      <c r="D6" s="316" t="s">
        <v>31</v>
      </c>
      <c r="E6" s="318"/>
      <c r="F6" s="316" t="str">
        <f>IF(SUMMARY!C7="","",SUMMARY!I7)</f>
        <v>Jill M. Brooks, 2019</v>
      </c>
      <c r="G6" s="317"/>
      <c r="H6" s="318"/>
      <c r="I6" s="316" t="str">
        <f>IF(SUMMARY!C8="","",SUMMARY!I8)</f>
        <v>Edian F. Franco, 2013</v>
      </c>
      <c r="J6" s="317" t="s">
        <v>32</v>
      </c>
      <c r="K6" s="318" t="s">
        <v>33</v>
      </c>
      <c r="L6" s="316" t="str">
        <f>IF(SUMMARY!C9="","",SUMMARY!I9)</f>
        <v>Cheng-Peng Gui, 2021</v>
      </c>
      <c r="M6" s="317"/>
      <c r="N6" s="318"/>
      <c r="O6" s="316" t="str">
        <f>IF(SUMMARY!C10="","",SUMMARY!I10)</f>
        <v>Yifan Liu, 2020</v>
      </c>
      <c r="P6" s="317"/>
      <c r="Q6" s="318"/>
      <c r="R6" s="316" t="e">
        <f>IF(SUMMARY!C11="","",SUMMARY!I11)</f>
        <v>#REF!</v>
      </c>
      <c r="S6" s="317"/>
      <c r="T6" s="318"/>
      <c r="U6" s="316" t="str">
        <f>IF(SUMMARY!C12="","",SUMMARY!I12)</f>
        <v>Jia Li, 2022</v>
      </c>
      <c r="V6" s="317"/>
      <c r="W6" s="318"/>
      <c r="X6" s="316" t="str">
        <f>IF(SUMMARY!C13="","",SUMMARY!I13)</f>
        <v>Run Shi , 2021</v>
      </c>
      <c r="Y6" s="317"/>
      <c r="Z6" s="318"/>
      <c r="AA6" s="316" t="str">
        <f>IF(SUMMARY!C14="","",SUMMARY!I14)</f>
        <v>Jun Shao, 2021</v>
      </c>
      <c r="AB6" s="317"/>
      <c r="AC6" s="318"/>
      <c r="AD6" s="316" t="str">
        <f>IF(SUMMARY!C15="","",SUMMARY!I15)</f>
        <v>Baohui Zhang, 2020</v>
      </c>
      <c r="AE6" s="317"/>
      <c r="AF6" s="318"/>
      <c r="AG6" s="316" t="str">
        <f>IF(SUMMARY!C16="","",SUMMARY!I16)</f>
        <v>Qiangnu Zhang, 2021</v>
      </c>
      <c r="AH6" s="317"/>
      <c r="AI6" s="318"/>
      <c r="AJ6" s="316" t="str">
        <f>IF(SUMMARY!C17="","",SUMMARY!I17)</f>
        <v>Fanhong Zeng, 2021</v>
      </c>
      <c r="AK6" s="317"/>
      <c r="AL6" s="318"/>
      <c r="AM6" s="316" t="str">
        <f>IF(SUMMARY!C18="","",SUMMARY!I18)</f>
        <v>Brian Lane, 2022</v>
      </c>
      <c r="AN6" s="317"/>
      <c r="AO6" s="318"/>
      <c r="AP6" s="316" t="str">
        <f>IF(SUMMARY!C19="","",SUMMARY!I19)</f>
        <v>Ke Wang, 2022</v>
      </c>
      <c r="AQ6" s="317"/>
      <c r="AR6" s="318"/>
      <c r="AS6" s="316" t="str">
        <f>IF(SUMMARY!C20="","",SUMMARY!I20)</f>
        <v>Xiong Tian, 2022</v>
      </c>
      <c r="AT6" s="317"/>
      <c r="AU6" s="318"/>
      <c r="AV6" s="316" t="str">
        <f>IF(SUMMARY!C21="","",SUMMARY!I21)</f>
        <v>Dongjie Chen, 2021</v>
      </c>
      <c r="AW6" s="317"/>
      <c r="AX6" s="318"/>
      <c r="AY6" s="316" t="str">
        <f>IF(SUMMARY!C22="","",SUMMARY!I22)</f>
        <v>Yanhong Shou, 2021</v>
      </c>
      <c r="AZ6" s="317"/>
      <c r="BA6" s="318"/>
      <c r="BB6" s="316" t="str">
        <f>IF(SUMMARY!C23="","",SUMMARY!I23)</f>
        <v>Xiangqian Zhang, 2023</v>
      </c>
      <c r="BC6" s="317"/>
      <c r="BD6" s="318"/>
      <c r="BE6" s="316" t="str">
        <f>IF(SUMMARY!C24="","",SUMMARY!I24)</f>
        <v>Chenyu Nie, 2022</v>
      </c>
      <c r="BF6" s="317"/>
      <c r="BG6" s="318"/>
      <c r="BH6" s="316" t="str">
        <f>IF(SUMMARY!C25="","",SUMMARY!I25)</f>
        <v>Jinman Zhong, 2021</v>
      </c>
      <c r="BI6" s="317"/>
      <c r="BJ6" s="318"/>
      <c r="BK6" s="316" t="str">
        <f>IF(SUMMARY!C26="","",SUMMARY!I26)</f>
        <v>Xia Yang, 2021</v>
      </c>
      <c r="BL6" s="317"/>
      <c r="BM6" s="318"/>
      <c r="BN6" s="316" t="str">
        <f>IF(SUMMARY!C27="","",SUMMARY!I27)</f>
        <v>Zhi Liu (21) X7, 2021</v>
      </c>
      <c r="BO6" s="317"/>
      <c r="BP6" s="318"/>
      <c r="BQ6" s="316" t="str">
        <f>IF(SUMMARY!C28="","",SUMMARY!I28)</f>
        <v/>
      </c>
      <c r="BR6" s="317"/>
      <c r="BS6" s="318"/>
      <c r="BT6" s="316" t="str">
        <f>IF(SUMMARY!C29="","",SUMMARY!I29)</f>
        <v/>
      </c>
      <c r="BU6" s="317"/>
      <c r="BV6" s="318"/>
      <c r="BW6" s="316" t="str">
        <f>IF(SUMMARY!C30="","",SUMMARY!I30)</f>
        <v/>
      </c>
      <c r="BX6" s="317"/>
      <c r="BY6" s="318"/>
      <c r="BZ6" s="316" t="str">
        <f>IF(SUMMARY!C31="","",SUMMARY!I31)</f>
        <v/>
      </c>
      <c r="CA6" s="317"/>
      <c r="CB6" s="318"/>
      <c r="CC6" s="316" t="str">
        <f>IF(SUMMARY!C32="","",SUMMARY!I32)</f>
        <v/>
      </c>
      <c r="CD6" s="317"/>
      <c r="CE6" s="318"/>
      <c r="CF6" s="316" t="str">
        <f>IF(SUMMARY!C33="","",SUMMARY!I33)</f>
        <v/>
      </c>
      <c r="CG6" s="317"/>
      <c r="CH6" s="318"/>
      <c r="CI6" s="316" t="str">
        <f>IF(SUMMARY!C34="","",SUMMARY!I34)</f>
        <v/>
      </c>
      <c r="CJ6" s="317"/>
      <c r="CK6" s="318"/>
      <c r="CL6" s="316" t="str">
        <f>IF(SUMMARY!C35="","",SUMMARY!I35)</f>
        <v/>
      </c>
      <c r="CM6" s="317"/>
      <c r="CN6" s="317"/>
      <c r="CO6" s="316" t="str">
        <f>IF(SUMMARY!C36="","",SUMMARY!I36)</f>
        <v/>
      </c>
      <c r="CP6" s="317"/>
      <c r="CQ6" s="317"/>
    </row>
    <row r="7" spans="1:95" ht="18.75" customHeight="1" x14ac:dyDescent="0.25">
      <c r="A7" s="355" t="s">
        <v>34</v>
      </c>
      <c r="B7" s="355"/>
      <c r="C7" s="355"/>
      <c r="D7" s="355"/>
      <c r="E7" s="356"/>
      <c r="F7" s="301"/>
      <c r="G7" s="300"/>
      <c r="H7" s="300"/>
      <c r="I7" s="300"/>
      <c r="J7" s="300"/>
      <c r="K7" s="300"/>
      <c r="L7" s="300"/>
      <c r="M7" s="300"/>
      <c r="N7" s="300"/>
      <c r="O7" s="300"/>
      <c r="P7" s="300"/>
      <c r="Q7" s="300"/>
      <c r="R7" s="300"/>
      <c r="S7" s="300"/>
      <c r="T7" s="300"/>
      <c r="U7" s="300"/>
      <c r="V7" s="300"/>
      <c r="W7" s="300"/>
      <c r="X7" s="300"/>
      <c r="Y7" s="300"/>
      <c r="Z7" s="300"/>
      <c r="AA7" s="300"/>
      <c r="AB7" s="300"/>
      <c r="AC7" s="300"/>
      <c r="AD7" s="300"/>
      <c r="AE7" s="300"/>
      <c r="AF7" s="300"/>
      <c r="AG7" s="300"/>
      <c r="AH7" s="300"/>
      <c r="AI7" s="300"/>
      <c r="AJ7" s="301"/>
      <c r="AK7" s="300"/>
      <c r="AL7" s="300"/>
      <c r="AM7" s="300"/>
      <c r="AN7" s="300"/>
      <c r="AO7" s="300"/>
      <c r="AP7" s="300"/>
      <c r="AQ7" s="300"/>
      <c r="AR7" s="300"/>
      <c r="AS7" s="300"/>
      <c r="AT7" s="300"/>
      <c r="AU7" s="300"/>
      <c r="AV7" s="300"/>
      <c r="AW7" s="300"/>
      <c r="AX7" s="300"/>
      <c r="AY7" s="300"/>
      <c r="AZ7" s="300"/>
      <c r="BA7" s="300"/>
      <c r="BB7" s="300"/>
      <c r="BC7" s="300"/>
      <c r="BD7" s="300"/>
      <c r="BE7" s="300"/>
      <c r="BF7" s="300"/>
      <c r="BG7" s="300"/>
      <c r="BH7" s="300"/>
      <c r="BI7" s="300"/>
      <c r="BJ7" s="300"/>
      <c r="BK7" s="300"/>
      <c r="BL7" s="300"/>
      <c r="BM7" s="300"/>
      <c r="BN7" s="300"/>
      <c r="BO7" s="300"/>
      <c r="BP7" s="300"/>
      <c r="BQ7" s="300"/>
      <c r="BR7" s="300"/>
      <c r="BS7" s="300"/>
      <c r="BT7" s="300"/>
      <c r="BU7" s="300"/>
      <c r="BV7" s="300"/>
      <c r="BW7" s="300"/>
      <c r="BX7" s="300"/>
      <c r="BY7" s="300"/>
      <c r="BZ7" s="300"/>
      <c r="CA7" s="300"/>
      <c r="CB7" s="300"/>
      <c r="CC7" s="300"/>
      <c r="CD7" s="300"/>
      <c r="CE7" s="300"/>
      <c r="CF7" s="300"/>
      <c r="CG7" s="300"/>
      <c r="CH7" s="300"/>
      <c r="CI7" s="300"/>
      <c r="CJ7" s="300"/>
      <c r="CK7" s="300"/>
      <c r="CL7" s="300"/>
      <c r="CM7" s="300"/>
      <c r="CN7" s="300"/>
      <c r="CO7" s="301"/>
      <c r="CP7" s="300"/>
      <c r="CQ7" s="300"/>
    </row>
    <row r="8" spans="1:95" s="14" customFormat="1" ht="15" customHeight="1" x14ac:dyDescent="0.2">
      <c r="A8" s="61" t="s">
        <v>35</v>
      </c>
      <c r="B8" s="61"/>
      <c r="C8" s="61"/>
      <c r="D8" s="349" t="s">
        <v>36</v>
      </c>
      <c r="E8" s="350"/>
      <c r="F8" s="325" t="str">
        <f>IF(SUMMARY!$D7="","",SUMMARY!$D7)</f>
        <v>Jill M. Brooks</v>
      </c>
      <c r="G8" s="326"/>
      <c r="H8" s="326"/>
      <c r="I8" s="325" t="str">
        <f>IF(SUMMARY!$D8="","",SUMMARY!$D8)</f>
        <v>Edian F. Franco</v>
      </c>
      <c r="J8" s="326"/>
      <c r="K8" s="326"/>
      <c r="L8" s="325" t="str">
        <f>IF(SUMMARY!$D9="","",SUMMARY!$D9)</f>
        <v>Cheng-Peng Gui</v>
      </c>
      <c r="M8" s="326"/>
      <c r="N8" s="326"/>
      <c r="O8" s="325" t="str">
        <f>IF(SUMMARY!$D10="","",SUMMARY!$D10)</f>
        <v>Yifan Liu</v>
      </c>
      <c r="P8" s="326"/>
      <c r="Q8" s="326"/>
      <c r="R8" s="325" t="e">
        <f>IF(SUMMARY!#REF!="","",SUMMARY!#REF!)</f>
        <v>#REF!</v>
      </c>
      <c r="S8" s="326"/>
      <c r="T8" s="326"/>
      <c r="U8" s="325" t="str">
        <f>IF(SUMMARY!$D12="","",SUMMARY!$D12)</f>
        <v>Jia Li</v>
      </c>
      <c r="V8" s="326"/>
      <c r="W8" s="326"/>
      <c r="X8" s="325" t="str">
        <f>IF(SUMMARY!$D13="","",SUMMARY!$D13)</f>
        <v>Run Shi </v>
      </c>
      <c r="Y8" s="326"/>
      <c r="Z8" s="326"/>
      <c r="AA8" s="325" t="str">
        <f>IF(SUMMARY!$D14="","",SUMMARY!$D14)</f>
        <v>Jun Shao</v>
      </c>
      <c r="AB8" s="326"/>
      <c r="AC8" s="326"/>
      <c r="AD8" s="325" t="str">
        <f>IF(SUMMARY!$D15="","",SUMMARY!$D15)</f>
        <v>Baohui Zhang</v>
      </c>
      <c r="AE8" s="326"/>
      <c r="AF8" s="326"/>
      <c r="AG8" s="325" t="str">
        <f>IF(SUMMARY!$D16="","",SUMMARY!$D16)</f>
        <v>Qiangnu Zhang</v>
      </c>
      <c r="AH8" s="326"/>
      <c r="AI8" s="326"/>
      <c r="AJ8" s="325" t="str">
        <f>IF(SUMMARY!$D17="","",SUMMARY!$D17)</f>
        <v>Fanhong Zeng</v>
      </c>
      <c r="AK8" s="326"/>
      <c r="AL8" s="326"/>
      <c r="AM8" s="325" t="str">
        <f>IF(SUMMARY!$D18="","",SUMMARY!$D18)</f>
        <v>Brian Lane</v>
      </c>
      <c r="AN8" s="326"/>
      <c r="AO8" s="326"/>
      <c r="AP8" s="325" t="str">
        <f>IF(SUMMARY!$D19="","",SUMMARY!$D19)</f>
        <v>Ke Wang</v>
      </c>
      <c r="AQ8" s="326"/>
      <c r="AR8" s="326"/>
      <c r="AS8" s="325" t="str">
        <f>IF(SUMMARY!$D20="","",SUMMARY!$D20)</f>
        <v>Xiong Tian</v>
      </c>
      <c r="AT8" s="326"/>
      <c r="AU8" s="326"/>
      <c r="AV8" s="325" t="str">
        <f>IF(SUMMARY!$D21="","",SUMMARY!$D21)</f>
        <v>Dongjie Chen</v>
      </c>
      <c r="AW8" s="326"/>
      <c r="AX8" s="326"/>
      <c r="AY8" s="325" t="str">
        <f>IF(SUMMARY!$D22="","",SUMMARY!$D22)</f>
        <v>Yanhong Shou</v>
      </c>
      <c r="AZ8" s="326"/>
      <c r="BA8" s="326"/>
      <c r="BB8" s="325" t="str">
        <f>IF(SUMMARY!$D23="","",SUMMARY!$D23)</f>
        <v>Xiangqian Zhang</v>
      </c>
      <c r="BC8" s="326"/>
      <c r="BD8" s="326"/>
      <c r="BE8" s="325" t="str">
        <f>IF(SUMMARY!$D24="","",SUMMARY!$D24)</f>
        <v>Chenyu Nie</v>
      </c>
      <c r="BF8" s="326"/>
      <c r="BG8" s="326"/>
      <c r="BH8" s="325" t="str">
        <f>IF(SUMMARY!$D25="","",SUMMARY!$D25)</f>
        <v>Jinman Zhong</v>
      </c>
      <c r="BI8" s="326"/>
      <c r="BJ8" s="326"/>
      <c r="BK8" s="325" t="str">
        <f>IF(SUMMARY!$D26="","",SUMMARY!$D26)</f>
        <v>Xia Yang</v>
      </c>
      <c r="BL8" s="326"/>
      <c r="BM8" s="326"/>
      <c r="BN8" s="325" t="str">
        <f>IF(SUMMARY!$D11="","",SUMMARY!$D11)</f>
        <v>Zhi Liu (21) X7</v>
      </c>
      <c r="BO8" s="326"/>
      <c r="BP8" s="326"/>
      <c r="BQ8" s="325" t="str">
        <f>IF(SUMMARY!$D28="","",SUMMARY!$D28)</f>
        <v>Fernández-Hidalgo (b)</v>
      </c>
      <c r="BR8" s="326"/>
      <c r="BS8" s="326"/>
      <c r="BT8" s="325" t="str">
        <f>IF(SUMMARY!$D29="","",SUMMARY!$D29)</f>
        <v/>
      </c>
      <c r="BU8" s="326"/>
      <c r="BV8" s="326"/>
      <c r="BW8" s="325" t="str">
        <f>IF(SUMMARY!$D30="","",SUMMARY!$D30)</f>
        <v/>
      </c>
      <c r="BX8" s="326"/>
      <c r="BY8" s="326"/>
      <c r="BZ8" s="325" t="str">
        <f>IF(SUMMARY!$D31="","",SUMMARY!$D31)</f>
        <v/>
      </c>
      <c r="CA8" s="326"/>
      <c r="CB8" s="326"/>
      <c r="CC8" s="325" t="str">
        <f>IF(SUMMARY!$D32="","",SUMMARY!$D32)</f>
        <v/>
      </c>
      <c r="CD8" s="326"/>
      <c r="CE8" s="326"/>
      <c r="CF8" s="325" t="str">
        <f>IF(SUMMARY!$D33="","",SUMMARY!$D33)</f>
        <v/>
      </c>
      <c r="CG8" s="326"/>
      <c r="CH8" s="326"/>
      <c r="CI8" s="325" t="str">
        <f>IF(SUMMARY!$D34="","",SUMMARY!$D34)</f>
        <v/>
      </c>
      <c r="CJ8" s="326"/>
      <c r="CK8" s="326"/>
      <c r="CL8" s="325" t="str">
        <f>IF(SUMMARY!$D35="","",SUMMARY!$D35)</f>
        <v/>
      </c>
      <c r="CM8" s="326"/>
      <c r="CN8" s="326"/>
      <c r="CO8" s="325" t="str">
        <f>IF(SUMMARY!$D36="","",SUMMARY!$D36)</f>
        <v/>
      </c>
      <c r="CP8" s="326"/>
      <c r="CQ8" s="326"/>
    </row>
    <row r="9" spans="1:95" s="14" customFormat="1" ht="15" customHeight="1" x14ac:dyDescent="0.2">
      <c r="A9" s="62" t="s">
        <v>35</v>
      </c>
      <c r="B9" s="62"/>
      <c r="C9" s="62"/>
      <c r="D9" s="347" t="s">
        <v>37</v>
      </c>
      <c r="E9" s="348"/>
      <c r="F9" s="322">
        <f>IF(SUMMARY!$E7="","",SUMMARY!$E7)</f>
        <v>2019</v>
      </c>
      <c r="G9" s="323"/>
      <c r="H9" s="324"/>
      <c r="I9" s="322">
        <f>IF(SUMMARY!$E8="","",SUMMARY!$E8)</f>
        <v>2013</v>
      </c>
      <c r="J9" s="323"/>
      <c r="K9" s="324"/>
      <c r="L9" s="322">
        <f>IF(SUMMARY!$E9="","",SUMMARY!$E9)</f>
        <v>2021</v>
      </c>
      <c r="M9" s="323"/>
      <c r="N9" s="324"/>
      <c r="O9" s="322">
        <f>IF(SUMMARY!$E10="","",SUMMARY!$E10)</f>
        <v>2020</v>
      </c>
      <c r="P9" s="323"/>
      <c r="Q9" s="324"/>
      <c r="R9" s="322" t="e">
        <f>IF(SUMMARY!#REF!="","",SUMMARY!#REF!)</f>
        <v>#REF!</v>
      </c>
      <c r="S9" s="323"/>
      <c r="T9" s="324"/>
      <c r="U9" s="322">
        <f>IF(SUMMARY!$E12="","",SUMMARY!$E12)</f>
        <v>2022</v>
      </c>
      <c r="V9" s="323"/>
      <c r="W9" s="324"/>
      <c r="X9" s="322">
        <f>IF(SUMMARY!$E13="","",SUMMARY!$E13)</f>
        <v>2021</v>
      </c>
      <c r="Y9" s="323"/>
      <c r="Z9" s="324"/>
      <c r="AA9" s="322">
        <f>IF(SUMMARY!$E14="","",SUMMARY!$E14)</f>
        <v>2021</v>
      </c>
      <c r="AB9" s="323"/>
      <c r="AC9" s="324"/>
      <c r="AD9" s="322">
        <f>IF(SUMMARY!$E15="","",SUMMARY!$E15)</f>
        <v>2020</v>
      </c>
      <c r="AE9" s="323"/>
      <c r="AF9" s="324"/>
      <c r="AG9" s="322">
        <f>IF(SUMMARY!$E16="","",SUMMARY!$E16)</f>
        <v>2021</v>
      </c>
      <c r="AH9" s="323"/>
      <c r="AI9" s="324"/>
      <c r="AJ9" s="322">
        <f>IF(SUMMARY!$E17="","",SUMMARY!$E17)</f>
        <v>2021</v>
      </c>
      <c r="AK9" s="323"/>
      <c r="AL9" s="324"/>
      <c r="AM9" s="322">
        <f>IF(SUMMARY!$E18="","",SUMMARY!$E18)</f>
        <v>2022</v>
      </c>
      <c r="AN9" s="323"/>
      <c r="AO9" s="324"/>
      <c r="AP9" s="322">
        <f>IF(SUMMARY!$E19="","",SUMMARY!$E19)</f>
        <v>2022</v>
      </c>
      <c r="AQ9" s="323"/>
      <c r="AR9" s="324"/>
      <c r="AS9" s="322">
        <f>IF(SUMMARY!$E20="","",SUMMARY!$E20)</f>
        <v>2022</v>
      </c>
      <c r="AT9" s="323"/>
      <c r="AU9" s="324"/>
      <c r="AV9" s="322">
        <f>IF(SUMMARY!$E21="","",SUMMARY!$E21)</f>
        <v>2021</v>
      </c>
      <c r="AW9" s="323"/>
      <c r="AX9" s="324"/>
      <c r="AY9" s="322">
        <f>IF(SUMMARY!$E22="","",SUMMARY!$E22)</f>
        <v>2021</v>
      </c>
      <c r="AZ9" s="323"/>
      <c r="BA9" s="324"/>
      <c r="BB9" s="322">
        <f>IF(SUMMARY!$E23="","",SUMMARY!$E23)</f>
        <v>2023</v>
      </c>
      <c r="BC9" s="323"/>
      <c r="BD9" s="324"/>
      <c r="BE9" s="322">
        <f>IF(SUMMARY!$E24="","",SUMMARY!$E24)</f>
        <v>2022</v>
      </c>
      <c r="BF9" s="323"/>
      <c r="BG9" s="324"/>
      <c r="BH9" s="322">
        <f>IF(SUMMARY!$E25="","",SUMMARY!$E25)</f>
        <v>2021</v>
      </c>
      <c r="BI9" s="323"/>
      <c r="BJ9" s="324"/>
      <c r="BK9" s="322">
        <f>IF(SUMMARY!$E26="","",SUMMARY!$E26)</f>
        <v>2021</v>
      </c>
      <c r="BL9" s="323"/>
      <c r="BM9" s="324"/>
      <c r="BN9" s="322">
        <f>IF(SUMMARY!$E11="","",SUMMARY!$E11)</f>
        <v>2021</v>
      </c>
      <c r="BO9" s="323"/>
      <c r="BP9" s="324"/>
      <c r="BQ9" s="322">
        <f>IF(SUMMARY!$E28="","",SUMMARY!$E28)</f>
        <v>2018</v>
      </c>
      <c r="BR9" s="323"/>
      <c r="BS9" s="324"/>
      <c r="BT9" s="322" t="str">
        <f>IF(SUMMARY!$E29="","",SUMMARY!$E29)</f>
        <v/>
      </c>
      <c r="BU9" s="323"/>
      <c r="BV9" s="324"/>
      <c r="BW9" s="322" t="str">
        <f>IF(SUMMARY!$E30="","",SUMMARY!$E30)</f>
        <v/>
      </c>
      <c r="BX9" s="323"/>
      <c r="BY9" s="324"/>
      <c r="BZ9" s="322" t="str">
        <f>IF(SUMMARY!$E31="","",SUMMARY!$E31)</f>
        <v/>
      </c>
      <c r="CA9" s="323"/>
      <c r="CB9" s="324"/>
      <c r="CC9" s="322" t="str">
        <f>IF(SUMMARY!$E32="","",SUMMARY!$E32)</f>
        <v/>
      </c>
      <c r="CD9" s="323"/>
      <c r="CE9" s="324"/>
      <c r="CF9" s="322" t="str">
        <f>IF(SUMMARY!$E33="","",SUMMARY!$E33)</f>
        <v/>
      </c>
      <c r="CG9" s="323"/>
      <c r="CH9" s="324"/>
      <c r="CI9" s="322" t="str">
        <f>IF(SUMMARY!$E34="","",SUMMARY!$E34)</f>
        <v/>
      </c>
      <c r="CJ9" s="323"/>
      <c r="CK9" s="324"/>
      <c r="CL9" s="322" t="str">
        <f>IF(SUMMARY!$E35="","",SUMMARY!$E35)</f>
        <v/>
      </c>
      <c r="CM9" s="323"/>
      <c r="CN9" s="323"/>
      <c r="CO9" s="322" t="str">
        <f>IF(SUMMARY!$E36="","",SUMMARY!$E36)</f>
        <v/>
      </c>
      <c r="CP9" s="323"/>
      <c r="CQ9" s="323"/>
    </row>
    <row r="10" spans="1:95" s="14" customFormat="1" ht="15" customHeight="1" x14ac:dyDescent="0.2">
      <c r="A10" s="62" t="s">
        <v>35</v>
      </c>
      <c r="B10" s="62"/>
      <c r="C10" s="62"/>
      <c r="D10" s="347" t="s">
        <v>38</v>
      </c>
      <c r="E10" s="348"/>
      <c r="F10" s="322" t="str">
        <f>IF(SUMMARY!$F7="","",SUMMARY!$F7)</f>
        <v>x 3</v>
      </c>
      <c r="G10" s="323"/>
      <c r="H10" s="324"/>
      <c r="I10" s="322" t="str">
        <f>IF(SUMMARY!$F8="","",SUMMARY!$F8)</f>
        <v/>
      </c>
      <c r="J10" s="323"/>
      <c r="K10" s="324"/>
      <c r="L10" s="322" t="str">
        <f>IF(SUMMARY!$F9="","",SUMMARY!$F9)</f>
        <v>X1</v>
      </c>
      <c r="M10" s="323"/>
      <c r="N10" s="324"/>
      <c r="O10" s="322" t="str">
        <f>IF(SUMMARY!$F10="","",SUMMARY!$F10)</f>
        <v>x6</v>
      </c>
      <c r="P10" s="323"/>
      <c r="Q10" s="324"/>
      <c r="R10" s="322" t="str">
        <f>IF(SUMMARY!$F11="","",SUMMARY!$F11)</f>
        <v>X7</v>
      </c>
      <c r="S10" s="323"/>
      <c r="T10" s="324"/>
      <c r="U10" s="322" t="str">
        <f>IF(SUMMARY!$F12="","",SUMMARY!$F12)</f>
        <v>X 4</v>
      </c>
      <c r="V10" s="323"/>
      <c r="W10" s="324"/>
      <c r="X10" s="322" t="str">
        <f>IF(SUMMARY!$F13="","",SUMMARY!$F13)</f>
        <v>x9</v>
      </c>
      <c r="Y10" s="323"/>
      <c r="Z10" s="324"/>
      <c r="AA10" s="322" t="str">
        <f>IF(SUMMARY!$F14="","",SUMMARY!$F14)</f>
        <v>X10</v>
      </c>
      <c r="AB10" s="323"/>
      <c r="AC10" s="324"/>
      <c r="AD10" s="322" t="str">
        <f>IF(SUMMARY!$F15="","",SUMMARY!$F15)</f>
        <v>X8</v>
      </c>
      <c r="AE10" s="323"/>
      <c r="AF10" s="324"/>
      <c r="AG10" s="322" t="str">
        <f>IF(SUMMARY!$F16="","",SUMMARY!$F16)</f>
        <v>x11</v>
      </c>
      <c r="AH10" s="323"/>
      <c r="AI10" s="324"/>
      <c r="AJ10" s="322" t="str">
        <f>IF(SUMMARY!$F17="","",SUMMARY!$F17)</f>
        <v>X 2</v>
      </c>
      <c r="AK10" s="323"/>
      <c r="AL10" s="324"/>
      <c r="AM10" s="322" t="str">
        <f>IF(SUMMARY!$F18="","",SUMMARY!$F18)</f>
        <v>x12</v>
      </c>
      <c r="AN10" s="323"/>
      <c r="AO10" s="324"/>
      <c r="AP10" s="322" t="str">
        <f>IF(SUMMARY!$F19="","",SUMMARY!$F19)</f>
        <v>X13</v>
      </c>
      <c r="AQ10" s="323"/>
      <c r="AR10" s="324"/>
      <c r="AS10" s="322" t="str">
        <f>IF(SUMMARY!$F20="","",SUMMARY!$F20)</f>
        <v>x 5</v>
      </c>
      <c r="AT10" s="323"/>
      <c r="AU10" s="324"/>
      <c r="AV10" s="322" t="str">
        <f>IF(SUMMARY!$F21="","",SUMMARY!$F21)</f>
        <v>X14</v>
      </c>
      <c r="AW10" s="323"/>
      <c r="AX10" s="324"/>
      <c r="AY10" s="322" t="str">
        <f>IF(SUMMARY!$F22="","",SUMMARY!$F22)</f>
        <v>X15</v>
      </c>
      <c r="AZ10" s="323"/>
      <c r="BA10" s="324"/>
      <c r="BB10" s="322" t="str">
        <f>IF(SUMMARY!$F23="","",SUMMARY!$F23)</f>
        <v>X16</v>
      </c>
      <c r="BC10" s="323"/>
      <c r="BD10" s="324"/>
      <c r="BE10" s="322" t="str">
        <f>IF(SUMMARY!$F24="","",SUMMARY!$F24)</f>
        <v>X17</v>
      </c>
      <c r="BF10" s="323"/>
      <c r="BG10" s="324"/>
      <c r="BH10" s="322" t="str">
        <f>IF(SUMMARY!$F25="","",SUMMARY!$F25)</f>
        <v>x18</v>
      </c>
      <c r="BI10" s="323"/>
      <c r="BJ10" s="324"/>
      <c r="BK10" s="322" t="str">
        <f>IF(SUMMARY!$F26="","",SUMMARY!$F26)</f>
        <v>X19</v>
      </c>
      <c r="BL10" s="323"/>
      <c r="BM10" s="324"/>
      <c r="BN10" s="322" t="str">
        <f>IF(SUMMARY!$F27="","",SUMMARY!$F27)</f>
        <v/>
      </c>
      <c r="BO10" s="323"/>
      <c r="BP10" s="324"/>
      <c r="BQ10" s="322" t="str">
        <f>IF(SUMMARY!$F28="","",SUMMARY!$F28)</f>
        <v>A pragmatic approach for mortality prediction after surgery in infective endocarditis: optimizing and refining EuroSCORE</v>
      </c>
      <c r="BR10" s="323"/>
      <c r="BS10" s="324"/>
      <c r="BT10" s="322" t="str">
        <f>IF(SUMMARY!$F29="","",SUMMARY!$F29)</f>
        <v/>
      </c>
      <c r="BU10" s="323"/>
      <c r="BV10" s="324"/>
      <c r="BW10" s="322" t="str">
        <f>IF(SUMMARY!$F30="","",SUMMARY!$F30)</f>
        <v/>
      </c>
      <c r="BX10" s="323"/>
      <c r="BY10" s="324"/>
      <c r="BZ10" s="322" t="str">
        <f>IF(SUMMARY!$F31="","",SUMMARY!$F31)</f>
        <v/>
      </c>
      <c r="CA10" s="323"/>
      <c r="CB10" s="324"/>
      <c r="CC10" s="322" t="str">
        <f>IF(SUMMARY!$F32="","",SUMMARY!$F32)</f>
        <v/>
      </c>
      <c r="CD10" s="323"/>
      <c r="CE10" s="324"/>
      <c r="CF10" s="322" t="str">
        <f>IF(SUMMARY!$F33="","",SUMMARY!$F33)</f>
        <v/>
      </c>
      <c r="CG10" s="323"/>
      <c r="CH10" s="324"/>
      <c r="CI10" s="322" t="str">
        <f>IF(SUMMARY!$F34="","",SUMMARY!$F34)</f>
        <v/>
      </c>
      <c r="CJ10" s="323"/>
      <c r="CK10" s="324"/>
      <c r="CL10" s="322" t="str">
        <f>IF(SUMMARY!$F35="","",SUMMARY!$F35)</f>
        <v/>
      </c>
      <c r="CM10" s="323"/>
      <c r="CN10" s="323"/>
      <c r="CO10" s="322" t="str">
        <f>IF(SUMMARY!$F36="","",SUMMARY!$F36)</f>
        <v/>
      </c>
      <c r="CP10" s="323"/>
      <c r="CQ10" s="323"/>
    </row>
    <row r="11" spans="1:95" s="14" customFormat="1" ht="15" customHeight="1" x14ac:dyDescent="0.2">
      <c r="A11" s="63" t="s">
        <v>35</v>
      </c>
      <c r="B11" s="63"/>
      <c r="C11" s="63"/>
      <c r="D11" s="347" t="s">
        <v>39</v>
      </c>
      <c r="E11" s="348"/>
      <c r="F11" s="322" t="str">
        <f>IF(SUMMARY!$G7="","",SUMMARY!$G7)</f>
        <v/>
      </c>
      <c r="G11" s="323"/>
      <c r="H11" s="324"/>
      <c r="I11" s="322" t="str">
        <f>IF(SUMMARY!$G8="","",SUMMARY!$G8)</f>
        <v/>
      </c>
      <c r="J11" s="323"/>
      <c r="K11" s="324"/>
      <c r="L11" s="322" t="str">
        <f>IF(SUMMARY!$G9="","",SUMMARY!$G9)</f>
        <v/>
      </c>
      <c r="M11" s="323"/>
      <c r="N11" s="324"/>
      <c r="O11" s="322" t="str">
        <f>IF(SUMMARY!$G10="","",SUMMARY!$G10)</f>
        <v/>
      </c>
      <c r="P11" s="323"/>
      <c r="Q11" s="324"/>
      <c r="R11" s="322" t="str">
        <f>IF(SUMMARY!$G11="","",SUMMARY!$G11)</f>
        <v/>
      </c>
      <c r="S11" s="323"/>
      <c r="T11" s="324"/>
      <c r="U11" s="322" t="str">
        <f>IF(SUMMARY!$G12="","",SUMMARY!$G12)</f>
        <v/>
      </c>
      <c r="V11" s="323"/>
      <c r="W11" s="324"/>
      <c r="X11" s="322" t="str">
        <f>IF(SUMMARY!$G13="","",SUMMARY!$G13)</f>
        <v/>
      </c>
      <c r="Y11" s="323"/>
      <c r="Z11" s="324"/>
      <c r="AA11" s="322" t="str">
        <f>IF(SUMMARY!$G14="","",SUMMARY!$G14)</f>
        <v/>
      </c>
      <c r="AB11" s="323"/>
      <c r="AC11" s="324"/>
      <c r="AD11" s="322" t="str">
        <f>IF(SUMMARY!$G15="","",SUMMARY!$G15)</f>
        <v/>
      </c>
      <c r="AE11" s="323"/>
      <c r="AF11" s="324"/>
      <c r="AG11" s="322" t="str">
        <f>IF(SUMMARY!$G16="","",SUMMARY!$G16)</f>
        <v/>
      </c>
      <c r="AH11" s="323"/>
      <c r="AI11" s="324"/>
      <c r="AJ11" s="322" t="str">
        <f>IF(SUMMARY!$G17="","",SUMMARY!$G17)</f>
        <v/>
      </c>
      <c r="AK11" s="323"/>
      <c r="AL11" s="324"/>
      <c r="AM11" s="322" t="str">
        <f>IF(SUMMARY!$G18="","",SUMMARY!$G18)</f>
        <v/>
      </c>
      <c r="AN11" s="323"/>
      <c r="AO11" s="324"/>
      <c r="AP11" s="322" t="str">
        <f>IF(SUMMARY!$G19="","",SUMMARY!$G19)</f>
        <v/>
      </c>
      <c r="AQ11" s="323"/>
      <c r="AR11" s="324"/>
      <c r="AS11" s="322" t="str">
        <f>IF(SUMMARY!$G20="","",SUMMARY!$G20)</f>
        <v/>
      </c>
      <c r="AT11" s="323"/>
      <c r="AU11" s="324"/>
      <c r="AV11" s="322" t="str">
        <f>IF(SUMMARY!$G21="","",SUMMARY!$G21)</f>
        <v/>
      </c>
      <c r="AW11" s="323"/>
      <c r="AX11" s="324"/>
      <c r="AY11" s="322" t="str">
        <f>IF(SUMMARY!$G22="","",SUMMARY!$G22)</f>
        <v/>
      </c>
      <c r="AZ11" s="323"/>
      <c r="BA11" s="324"/>
      <c r="BB11" s="322" t="str">
        <f>IF(SUMMARY!$G23="","",SUMMARY!$G23)</f>
        <v/>
      </c>
      <c r="BC11" s="323"/>
      <c r="BD11" s="324"/>
      <c r="BE11" s="322" t="str">
        <f>IF(SUMMARY!$G24="","",SUMMARY!$G24)</f>
        <v/>
      </c>
      <c r="BF11" s="323"/>
      <c r="BG11" s="324"/>
      <c r="BH11" s="322" t="str">
        <f>IF(SUMMARY!$G25="","",SUMMARY!$G25)</f>
        <v/>
      </c>
      <c r="BI11" s="323"/>
      <c r="BJ11" s="324"/>
      <c r="BK11" s="322" t="str">
        <f>IF(SUMMARY!$G26="","",SUMMARY!$G26)</f>
        <v/>
      </c>
      <c r="BL11" s="323"/>
      <c r="BM11" s="324"/>
      <c r="BN11" s="322" t="str">
        <f>IF(SUMMARY!$G27="","",SUMMARY!$G27)</f>
        <v/>
      </c>
      <c r="BO11" s="323"/>
      <c r="BP11" s="324"/>
      <c r="BQ11" s="322" t="str">
        <f>IF(SUMMARY!$G28="","",SUMMARY!$G28)</f>
        <v>Clinical Microbiology and Infection</v>
      </c>
      <c r="BR11" s="323"/>
      <c r="BS11" s="324"/>
      <c r="BT11" s="322" t="str">
        <f>IF(SUMMARY!$G29="","",SUMMARY!$G29)</f>
        <v/>
      </c>
      <c r="BU11" s="323"/>
      <c r="BV11" s="324"/>
      <c r="BW11" s="322" t="str">
        <f>IF(SUMMARY!$G30="","",SUMMARY!$G30)</f>
        <v/>
      </c>
      <c r="BX11" s="323"/>
      <c r="BY11" s="324"/>
      <c r="BZ11" s="322" t="str">
        <f>IF(SUMMARY!$G31="","",SUMMARY!$G31)</f>
        <v/>
      </c>
      <c r="CA11" s="323"/>
      <c r="CB11" s="324"/>
      <c r="CC11" s="322" t="str">
        <f>IF(SUMMARY!$G32="","",SUMMARY!$G32)</f>
        <v/>
      </c>
      <c r="CD11" s="323"/>
      <c r="CE11" s="324"/>
      <c r="CF11" s="322" t="str">
        <f>IF(SUMMARY!$G33="","",SUMMARY!$G33)</f>
        <v/>
      </c>
      <c r="CG11" s="323"/>
      <c r="CH11" s="324"/>
      <c r="CI11" s="322" t="str">
        <f>IF(SUMMARY!$G34="","",SUMMARY!$G34)</f>
        <v/>
      </c>
      <c r="CJ11" s="323"/>
      <c r="CK11" s="324"/>
      <c r="CL11" s="322" t="str">
        <f>IF(SUMMARY!$G35="","",SUMMARY!$G35)</f>
        <v/>
      </c>
      <c r="CM11" s="323"/>
      <c r="CN11" s="323"/>
      <c r="CO11" s="322" t="str">
        <f>IF(SUMMARY!$G36="","",SUMMARY!$G36)</f>
        <v/>
      </c>
      <c r="CP11" s="323"/>
      <c r="CQ11" s="323"/>
    </row>
    <row r="12" spans="1:95" s="14" customFormat="1" ht="15" customHeight="1" x14ac:dyDescent="0.2">
      <c r="A12" s="63" t="s">
        <v>35</v>
      </c>
      <c r="B12" s="63"/>
      <c r="C12" s="63"/>
      <c r="D12" s="351" t="s">
        <v>40</v>
      </c>
      <c r="E12" s="352"/>
      <c r="F12" s="319" t="str">
        <f>IF(SUMMARY!$H7="","",SUMMARY!$H7)</f>
        <v>unsupervised clustering</v>
      </c>
      <c r="G12" s="320"/>
      <c r="H12" s="321"/>
      <c r="I12" s="319" t="str">
        <f>IF(SUMMARY!$H8="","",SUMMARY!$H8)</f>
        <v>autoencoder</v>
      </c>
      <c r="J12" s="320"/>
      <c r="K12" s="321"/>
      <c r="L12" s="319" t="str">
        <f>IF(SUMMARY!$H9="","",SUMMARY!$H9)</f>
        <v>t-SNE and Lasso</v>
      </c>
      <c r="M12" s="320"/>
      <c r="N12" s="321"/>
      <c r="O12" s="319" t="str">
        <f>IF(SUMMARY!$H10="","",SUMMARY!$H10)</f>
        <v>t-SNE and Lasso Cox Regression</v>
      </c>
      <c r="P12" s="320"/>
      <c r="Q12" s="321"/>
      <c r="R12" s="319" t="str">
        <f>IF(SUMMARY!$H11="","",SUMMARY!$H11)</f>
        <v xml:space="preserve">LASSO </v>
      </c>
      <c r="S12" s="320"/>
      <c r="T12" s="321"/>
      <c r="U12" s="319" t="str">
        <f>IF(SUMMARY!$H12="","",SUMMARY!$H12)</f>
        <v>random forest</v>
      </c>
      <c r="V12" s="320"/>
      <c r="W12" s="321"/>
      <c r="X12" s="319" t="str">
        <f>IF(SUMMARY!$H13="","",SUMMARY!$H13)</f>
        <v>LASSO Cox algorithm</v>
      </c>
      <c r="Y12" s="320"/>
      <c r="Z12" s="321"/>
      <c r="AA12" s="319" t="str">
        <f>IF(SUMMARY!$H14="","",SUMMARY!$H14)</f>
        <v xml:space="preserve">K-mean and LASSO Cox regression </v>
      </c>
      <c r="AB12" s="320"/>
      <c r="AC12" s="321"/>
      <c r="AD12" s="319" t="str">
        <f>IF(SUMMARY!$H15="","",SUMMARY!$H15)</f>
        <v>K-mean and LASSO Cox Regression</v>
      </c>
      <c r="AE12" s="320"/>
      <c r="AF12" s="321"/>
      <c r="AG12" s="319" t="str">
        <f>IF(SUMMARY!$H16="","",SUMMARY!$H16)</f>
        <v xml:space="preserve">LASSO Cox regression </v>
      </c>
      <c r="AH12" s="320"/>
      <c r="AI12" s="321"/>
      <c r="AJ12" s="319" t="str">
        <f>IF(SUMMARY!$H17="","",SUMMARY!$H17)</f>
        <v>Kmean</v>
      </c>
      <c r="AK12" s="320"/>
      <c r="AL12" s="321"/>
      <c r="AM12" s="319" t="str">
        <f>IF(SUMMARY!$H18="","",SUMMARY!$H18)</f>
        <v>K-mean</v>
      </c>
      <c r="AN12" s="320"/>
      <c r="AO12" s="321"/>
      <c r="AP12" s="319" t="str">
        <f>IF(SUMMARY!$H19="","",SUMMARY!$H19)</f>
        <v>LASSO</v>
      </c>
      <c r="AQ12" s="320"/>
      <c r="AR12" s="321"/>
      <c r="AS12" s="319" t="str">
        <f>IF(SUMMARY!$H20="","",SUMMARY!$H20)</f>
        <v>LASSO</v>
      </c>
      <c r="AT12" s="320"/>
      <c r="AU12" s="321"/>
      <c r="AV12" s="319" t="str">
        <f>IF(SUMMARY!$H21="","",SUMMARY!$H21)</f>
        <v xml:space="preserve"> LASSO Cox regression </v>
      </c>
      <c r="AW12" s="320"/>
      <c r="AX12" s="321"/>
      <c r="AY12" s="319" t="str">
        <f>IF(SUMMARY!$H22="","",SUMMARY!$H22)</f>
        <v>LASSO</v>
      </c>
      <c r="AZ12" s="320"/>
      <c r="BA12" s="321"/>
      <c r="BB12" s="319" t="str">
        <f>IF(SUMMARY!$H23="","",SUMMARY!$H23)</f>
        <v xml:space="preserve">LASSO Cox regression </v>
      </c>
      <c r="BC12" s="320"/>
      <c r="BD12" s="321"/>
      <c r="BE12" s="319" t="str">
        <f>IF(SUMMARY!$H24="","",SUMMARY!$H24)</f>
        <v>LASSO</v>
      </c>
      <c r="BF12" s="320"/>
      <c r="BG12" s="321"/>
      <c r="BH12" s="319" t="str">
        <f>IF(SUMMARY!$H25="","",SUMMARY!$H25)</f>
        <v>LASSO</v>
      </c>
      <c r="BI12" s="320"/>
      <c r="BJ12" s="321"/>
      <c r="BK12" s="319" t="str">
        <f>IF(SUMMARY!$H26="","",SUMMARY!$H26)</f>
        <v>LASSO</v>
      </c>
      <c r="BL12" s="320"/>
      <c r="BM12" s="321"/>
      <c r="BN12" s="319" t="str">
        <f>IF(SUMMARY!$H27="","",SUMMARY!$H27)</f>
        <v/>
      </c>
      <c r="BO12" s="320"/>
      <c r="BP12" s="321"/>
      <c r="BQ12" s="319" t="str">
        <f>IF(SUMMARY!$H28="","",SUMMARY!$H28)</f>
        <v>Specific EuroSCORE-II</v>
      </c>
      <c r="BR12" s="320"/>
      <c r="BS12" s="321"/>
      <c r="BT12" s="319" t="str">
        <f>IF(SUMMARY!$H29="","",SUMMARY!$H29)</f>
        <v/>
      </c>
      <c r="BU12" s="320"/>
      <c r="BV12" s="321"/>
      <c r="BW12" s="319" t="str">
        <f>IF(SUMMARY!$H30="","",SUMMARY!$H30)</f>
        <v/>
      </c>
      <c r="BX12" s="320"/>
      <c r="BY12" s="321"/>
      <c r="BZ12" s="319" t="str">
        <f>IF(SUMMARY!$H31="","",SUMMARY!$H31)</f>
        <v/>
      </c>
      <c r="CA12" s="320"/>
      <c r="CB12" s="321"/>
      <c r="CC12" s="319" t="str">
        <f>IF(SUMMARY!$H32="","",SUMMARY!$H32)</f>
        <v/>
      </c>
      <c r="CD12" s="320"/>
      <c r="CE12" s="321"/>
      <c r="CF12" s="319" t="str">
        <f>IF(SUMMARY!$H33="","",SUMMARY!$H33)</f>
        <v/>
      </c>
      <c r="CG12" s="320"/>
      <c r="CH12" s="321"/>
      <c r="CI12" s="319" t="str">
        <f>IF(SUMMARY!$H34="","",SUMMARY!$H34)</f>
        <v/>
      </c>
      <c r="CJ12" s="320"/>
      <c r="CK12" s="321"/>
      <c r="CL12" s="319" t="str">
        <f>IF(SUMMARY!$H35="","",SUMMARY!$H35)</f>
        <v/>
      </c>
      <c r="CM12" s="320"/>
      <c r="CN12" s="320"/>
      <c r="CO12" s="319" t="str">
        <f>IF(SUMMARY!$H36="","",SUMMARY!$H36)</f>
        <v/>
      </c>
      <c r="CP12" s="320"/>
      <c r="CQ12" s="320"/>
    </row>
    <row r="13" spans="1:95" s="1" customFormat="1" ht="18.75" customHeight="1" x14ac:dyDescent="0.25">
      <c r="A13" s="355" t="s">
        <v>41</v>
      </c>
      <c r="B13" s="355"/>
      <c r="C13" s="355"/>
      <c r="D13" s="355"/>
      <c r="E13" s="355"/>
      <c r="F13" s="48">
        <f>IF(SUMMARY!$B$7=TRUE,IF(F14="",0,1),"")</f>
        <v>1</v>
      </c>
      <c r="G13" s="50"/>
      <c r="H13" s="50"/>
      <c r="I13" s="50">
        <f>IF(SUMMARY!$B$8=TRUE,IF(I14="",0,1),"")</f>
        <v>1</v>
      </c>
      <c r="J13" s="50"/>
      <c r="K13" s="50"/>
      <c r="L13" s="50">
        <f>IF(SUMMARY!$B$9=TRUE,IF(L14="",0,1),"")</f>
        <v>1</v>
      </c>
      <c r="M13" s="50"/>
      <c r="N13" s="50"/>
      <c r="O13" s="50">
        <f>IF(SUMMARY!$B$10=TRUE,IF(O14="",0,1),"")</f>
        <v>1</v>
      </c>
      <c r="P13" s="50"/>
      <c r="Q13" s="50"/>
      <c r="R13" s="50">
        <f>IF(SUMMARY!$B$11=TRUE,IF(R14="",0,1),"")</f>
        <v>1</v>
      </c>
      <c r="S13" s="50"/>
      <c r="T13" s="50"/>
      <c r="U13" s="50">
        <f>IF(SUMMARY!$B$12=TRUE,IF(U14="",0,1),"")</f>
        <v>1</v>
      </c>
      <c r="V13" s="50"/>
      <c r="W13" s="50"/>
      <c r="X13" s="50">
        <f>IF(SUMMARY!$B$13=TRUE,IF(X14="",0,1),"")</f>
        <v>1</v>
      </c>
      <c r="Y13" s="50"/>
      <c r="Z13" s="50"/>
      <c r="AA13" s="50">
        <f>IF(SUMMARY!$B$14=TRUE,IF(AA14="",0,1),"")</f>
        <v>1</v>
      </c>
      <c r="AB13" s="50"/>
      <c r="AC13" s="50"/>
      <c r="AD13" s="50">
        <f>IF(SUMMARY!$B$15=TRUE,IF(AD14="",0,1),"")</f>
        <v>1</v>
      </c>
      <c r="AE13" s="50"/>
      <c r="AF13" s="50"/>
      <c r="AG13" s="50">
        <f>IF(SUMMARY!$B$16=TRUE,IF(AG14="",0,1),"")</f>
        <v>1</v>
      </c>
      <c r="AH13" s="50"/>
      <c r="AI13" s="50"/>
      <c r="AJ13" s="50">
        <f>IF(SUMMARY!$B$17=TRUE,IF(AJ14="",0,1),"")</f>
        <v>1</v>
      </c>
      <c r="AK13" s="50"/>
      <c r="AL13" s="50"/>
      <c r="AM13" s="50">
        <f>IF(SUMMARY!$B$18=TRUE,IF(AM14="",0,1),"")</f>
        <v>0</v>
      </c>
      <c r="AN13" s="50"/>
      <c r="AO13" s="50"/>
      <c r="AP13" s="50">
        <f>IF(SUMMARY!$B$19=TRUE,IF(AP14="",0,1),"")</f>
        <v>0</v>
      </c>
      <c r="AQ13" s="50"/>
      <c r="AR13" s="50"/>
      <c r="AS13" s="50">
        <f>IF(SUMMARY!$B$20=TRUE,IF(AS14="",0,1),"")</f>
        <v>0</v>
      </c>
      <c r="AT13" s="50"/>
      <c r="AU13" s="50"/>
      <c r="AV13" s="50">
        <f>IF(SUMMARY!$B$21=TRUE,IF(AV14="",0,1),"")</f>
        <v>0</v>
      </c>
      <c r="AW13" s="50"/>
      <c r="AX13" s="50"/>
      <c r="AY13" s="50">
        <f>IF(SUMMARY!$B$22=TRUE,IF(AY14="",0,1),"")</f>
        <v>0</v>
      </c>
      <c r="AZ13" s="50"/>
      <c r="BA13" s="50"/>
      <c r="BB13" s="50">
        <f>IF(SUMMARY!$B$23=TRUE,IF(BB14="",0,1),"")</f>
        <v>0</v>
      </c>
      <c r="BC13" s="50"/>
      <c r="BD13" s="50"/>
      <c r="BE13" s="50">
        <f>IF(SUMMARY!$B$24=TRUE,IF(BE14="",0,1),"")</f>
        <v>0</v>
      </c>
      <c r="BF13" s="50"/>
      <c r="BG13" s="50"/>
      <c r="BH13" s="50">
        <f>IF(SUMMARY!$B$25=TRUE,IF(BH14="",0,1),"")</f>
        <v>0</v>
      </c>
      <c r="BI13" s="50"/>
      <c r="BJ13" s="50"/>
      <c r="BK13" s="50">
        <f>IF(SUMMARY!$B$26=TRUE,IF(BK14="",0,1),"")</f>
        <v>0</v>
      </c>
      <c r="BL13" s="50"/>
      <c r="BM13" s="50"/>
      <c r="BN13" s="50">
        <f>IF(SUMMARY!$B$27=TRUE,IF(BN14="",0,1),"")</f>
        <v>0</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6"/>
      <c r="B14" s="64" t="s">
        <v>35</v>
      </c>
      <c r="C14" s="64" t="s">
        <v>35</v>
      </c>
      <c r="D14" s="359" t="s">
        <v>42</v>
      </c>
      <c r="E14" s="360"/>
      <c r="F14" s="310" t="s">
        <v>43</v>
      </c>
      <c r="G14" s="311"/>
      <c r="H14" s="311"/>
      <c r="I14" s="310" t="s">
        <v>44</v>
      </c>
      <c r="J14" s="311"/>
      <c r="K14" s="311"/>
      <c r="L14" s="310" t="s">
        <v>43</v>
      </c>
      <c r="M14" s="311"/>
      <c r="N14" s="311"/>
      <c r="O14" s="310" t="s">
        <v>44</v>
      </c>
      <c r="P14" s="311"/>
      <c r="Q14" s="311"/>
      <c r="R14" s="310" t="s">
        <v>45</v>
      </c>
      <c r="S14" s="311"/>
      <c r="T14" s="311"/>
      <c r="U14" s="310" t="s">
        <v>45</v>
      </c>
      <c r="V14" s="311"/>
      <c r="W14" s="311"/>
      <c r="X14" s="310" t="s">
        <v>44</v>
      </c>
      <c r="Y14" s="311"/>
      <c r="Z14" s="311"/>
      <c r="AA14" s="310" t="s">
        <v>44</v>
      </c>
      <c r="AB14" s="311"/>
      <c r="AC14" s="311"/>
      <c r="AD14" s="310" t="s">
        <v>44</v>
      </c>
      <c r="AE14" s="311"/>
      <c r="AF14" s="311"/>
      <c r="AG14" s="310" t="s">
        <v>44</v>
      </c>
      <c r="AH14" s="311"/>
      <c r="AI14" s="311"/>
      <c r="AJ14" s="310" t="s">
        <v>44</v>
      </c>
      <c r="AK14" s="311"/>
      <c r="AL14" s="311"/>
      <c r="AM14" s="310"/>
      <c r="AN14" s="311"/>
      <c r="AO14" s="311"/>
      <c r="AP14" s="310"/>
      <c r="AQ14" s="311"/>
      <c r="AR14" s="311"/>
      <c r="AS14" s="310"/>
      <c r="AT14" s="311"/>
      <c r="AU14" s="311"/>
      <c r="AV14" s="310"/>
      <c r="AW14" s="311"/>
      <c r="AX14" s="311"/>
      <c r="AY14" s="310"/>
      <c r="AZ14" s="311"/>
      <c r="BA14" s="311"/>
      <c r="BB14" s="310"/>
      <c r="BC14" s="311"/>
      <c r="BD14" s="311"/>
      <c r="BE14" s="310"/>
      <c r="BF14" s="311"/>
      <c r="BG14" s="311"/>
      <c r="BH14" s="310"/>
      <c r="BI14" s="311"/>
      <c r="BJ14" s="311"/>
      <c r="BK14" s="310"/>
      <c r="BL14" s="311"/>
      <c r="BM14" s="311"/>
      <c r="BN14" s="310"/>
      <c r="BO14" s="311"/>
      <c r="BP14" s="311"/>
      <c r="BQ14" s="310"/>
      <c r="BR14" s="311"/>
      <c r="BS14" s="311"/>
      <c r="BT14" s="310"/>
      <c r="BU14" s="311"/>
      <c r="BV14" s="311"/>
      <c r="BW14" s="310"/>
      <c r="BX14" s="311"/>
      <c r="BY14" s="311"/>
      <c r="BZ14" s="310"/>
      <c r="CA14" s="311"/>
      <c r="CB14" s="311"/>
      <c r="CC14" s="310"/>
      <c r="CD14" s="311"/>
      <c r="CE14" s="311"/>
      <c r="CF14" s="310"/>
      <c r="CG14" s="311"/>
      <c r="CH14" s="311"/>
      <c r="CI14" s="310"/>
      <c r="CJ14" s="311"/>
      <c r="CK14" s="311"/>
      <c r="CL14" s="310"/>
      <c r="CM14" s="311"/>
      <c r="CN14" s="311"/>
      <c r="CO14" s="310"/>
      <c r="CP14" s="311"/>
      <c r="CQ14" s="311"/>
    </row>
    <row r="15" spans="1:95" s="1" customFormat="1" ht="18.75" customHeight="1" x14ac:dyDescent="0.25">
      <c r="A15" s="355" t="s">
        <v>46</v>
      </c>
      <c r="B15" s="355"/>
      <c r="C15" s="355"/>
      <c r="D15" s="355"/>
      <c r="E15" s="355"/>
      <c r="F15" s="48">
        <f>IF(SUMMARY!$B$7=TRUE,IF(AND(COUNTBLANK(F16:F22)=0,COUNTBLANK(F24:F28)&lt;5),1,0),"")</f>
        <v>1</v>
      </c>
      <c r="G15" s="49"/>
      <c r="H15" s="49"/>
      <c r="I15" s="50">
        <f>IF(SUMMARY!$B$8=TRUE,IF(AND(COUNTBLANK(I16:I22)=0,COUNTBLANK(I24:I28)&lt;5),1,0),"")</f>
        <v>1</v>
      </c>
      <c r="J15" s="49"/>
      <c r="K15" s="49"/>
      <c r="L15" s="50">
        <f>IF(SUMMARY!$B$9=TRUE,IF(AND(COUNTBLANK(L16:L22)=0,COUNTBLANK(L24:L28)&lt;5),1,0),"")</f>
        <v>1</v>
      </c>
      <c r="M15" s="49"/>
      <c r="N15" s="49"/>
      <c r="O15" s="50">
        <f>IF(SUMMARY!$B$10=TRUE,IF(AND(COUNTBLANK(O16:O22)=0,COUNTBLANK(O24:O28)&lt;5),1,0),"")</f>
        <v>1</v>
      </c>
      <c r="P15" s="49"/>
      <c r="Q15" s="49"/>
      <c r="R15" s="50">
        <f>IF(SUMMARY!$B$11=TRUE,IF(AND(COUNTBLANK(R16:R22)=0,COUNTBLANK(R24:R28)&lt;5),1,0),"")</f>
        <v>1</v>
      </c>
      <c r="S15" s="49"/>
      <c r="T15" s="49"/>
      <c r="U15" s="50">
        <f>IF(SUMMARY!$B$12=TRUE,IF(AND(COUNTBLANK(U16:U22)=0,COUNTBLANK(U24:U28)&lt;5),1,0),"")</f>
        <v>1</v>
      </c>
      <c r="V15" s="49"/>
      <c r="W15" s="49"/>
      <c r="X15" s="50">
        <f>IF(SUMMARY!$B$13=TRUE,IF(AND(COUNTBLANK(X16:X22)=0,COUNTBLANK(X24:X28)&lt;5),1,0),"")</f>
        <v>1</v>
      </c>
      <c r="Y15" s="49"/>
      <c r="Z15" s="49"/>
      <c r="AA15" s="50">
        <f>IF(SUMMARY!$B$14=TRUE,IF(AND(COUNTBLANK(AA16:AA22)=0,COUNTBLANK(AA24:AA28)&lt;5),1,0),"")</f>
        <v>1</v>
      </c>
      <c r="AB15" s="49"/>
      <c r="AC15" s="49"/>
      <c r="AD15" s="50">
        <f>IF(SUMMARY!$B$15=TRUE,IF(AND(COUNTBLANK(AD16:AD22)=0,COUNTBLANK(AD24:AD28)&lt;5),1,0),"")</f>
        <v>1</v>
      </c>
      <c r="AE15" s="49"/>
      <c r="AF15" s="49"/>
      <c r="AG15" s="50">
        <f>IF(SUMMARY!$B$16=TRUE,IF(AND(COUNTBLANK(AG16:AG22)=0,COUNTBLANK(AG24:AG28)&lt;5),1,0),"")</f>
        <v>1</v>
      </c>
      <c r="AH15" s="49"/>
      <c r="AI15" s="49"/>
      <c r="AJ15" s="50">
        <f>IF(SUMMARY!$B$17=TRUE,IF(AND(COUNTBLANK(AJ16:AJ22)=0,COUNTBLANK(AJ24:AJ28)&lt;5),1,0),"")</f>
        <v>1</v>
      </c>
      <c r="AK15" s="49"/>
      <c r="AL15" s="49"/>
      <c r="AM15" s="50">
        <f>IF(SUMMARY!$B$18=TRUE,IF(AND(COUNTBLANK(AM16:AM22)=0,COUNTBLANK(AM24:AM28)&lt;5),1,0),"")</f>
        <v>0</v>
      </c>
      <c r="AN15" s="49"/>
      <c r="AO15" s="49"/>
      <c r="AP15" s="50">
        <f>IF(SUMMARY!$B$19=TRUE,IF(AND(COUNTBLANK(AP16:AP22)=0,COUNTBLANK(AP24:AP28)&lt;5),1,0),"")</f>
        <v>0</v>
      </c>
      <c r="AQ15" s="49"/>
      <c r="AR15" s="49"/>
      <c r="AS15" s="50">
        <f>IF(SUMMARY!$B$20=TRUE,IF(AND(COUNTBLANK(AS16:AS22)=0,COUNTBLANK(AS24:AS28)&lt;5),1,0),"")</f>
        <v>0</v>
      </c>
      <c r="AT15" s="49"/>
      <c r="AU15" s="49"/>
      <c r="AV15" s="50">
        <f>IF(SUMMARY!$B$21=TRUE,IF(AND(COUNTBLANK(AV16:AV22)=0,COUNTBLANK(AV24:AV28)&lt;5),1,0),"")</f>
        <v>0</v>
      </c>
      <c r="AW15" s="49"/>
      <c r="AX15" s="49"/>
      <c r="AY15" s="50">
        <f>IF(SUMMARY!$B$22=TRUE,IF(AND(COUNTBLANK(AY16:AY22)=0,COUNTBLANK(AY24:AY28)&lt;5),1,0),"")</f>
        <v>0</v>
      </c>
      <c r="AZ15" s="49"/>
      <c r="BA15" s="49"/>
      <c r="BB15" s="50">
        <f>IF(SUMMARY!$B$23=TRUE,IF(AND(COUNTBLANK(BB16:BB22)=0,COUNTBLANK(BB24:BB28)&lt;5),1,0),"")</f>
        <v>0</v>
      </c>
      <c r="BC15" s="49"/>
      <c r="BD15" s="49"/>
      <c r="BE15" s="50">
        <f>IF(SUMMARY!$B$24=TRUE,IF(AND(COUNTBLANK(BE16:BE22)=0,COUNTBLANK(BE24:BE28)&lt;5),1,0),"")</f>
        <v>0</v>
      </c>
      <c r="BF15" s="49"/>
      <c r="BG15" s="49"/>
      <c r="BH15" s="50">
        <f>IF(SUMMARY!$B$25=TRUE,IF(AND(COUNTBLANK(BH16:BH22)=0,COUNTBLANK(BH24:BH28)&lt;5),1,0),"")</f>
        <v>0</v>
      </c>
      <c r="BI15" s="49"/>
      <c r="BJ15" s="49"/>
      <c r="BK15" s="50">
        <f>IF(SUMMARY!$B$26=TRUE,IF(AND(COUNTBLANK(BK16:BK22)=0,COUNTBLANK(BK24:BK28)&lt;5),1,0),"")</f>
        <v>0</v>
      </c>
      <c r="BL15" s="49"/>
      <c r="BM15" s="49"/>
      <c r="BN15" s="50">
        <f>IF(SUMMARY!$B$27=TRUE,IF(AND(COUNTBLANK(BN16:BN22)=0,COUNTBLANK(BN24:BN28)&lt;5),1,0),"")</f>
        <v>0</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47</v>
      </c>
      <c r="B16" s="61" t="s">
        <v>35</v>
      </c>
      <c r="C16" s="61"/>
      <c r="D16" s="349" t="s">
        <v>48</v>
      </c>
      <c r="E16" s="350"/>
      <c r="F16" s="314" t="s">
        <v>49</v>
      </c>
      <c r="G16" s="315"/>
      <c r="H16" s="315"/>
      <c r="I16" s="314" t="s">
        <v>50</v>
      </c>
      <c r="J16" s="315"/>
      <c r="K16" s="315"/>
      <c r="L16" s="314" t="s">
        <v>51</v>
      </c>
      <c r="M16" s="315"/>
      <c r="N16" s="315"/>
      <c r="O16" s="314" t="s">
        <v>52</v>
      </c>
      <c r="P16" s="315"/>
      <c r="Q16" s="315"/>
      <c r="R16" s="314" t="s">
        <v>51</v>
      </c>
      <c r="S16" s="315"/>
      <c r="T16" s="315"/>
      <c r="U16" s="314" t="s">
        <v>51</v>
      </c>
      <c r="V16" s="315"/>
      <c r="W16" s="315"/>
      <c r="X16" s="314" t="s">
        <v>52</v>
      </c>
      <c r="Y16" s="315"/>
      <c r="Z16" s="315"/>
      <c r="AA16" s="314" t="s">
        <v>51</v>
      </c>
      <c r="AB16" s="315"/>
      <c r="AC16" s="315"/>
      <c r="AD16" s="314" t="s">
        <v>53</v>
      </c>
      <c r="AE16" s="315"/>
      <c r="AF16" s="315"/>
      <c r="AG16" s="314" t="s">
        <v>51</v>
      </c>
      <c r="AH16" s="315"/>
      <c r="AI16" s="315"/>
      <c r="AJ16" s="314" t="s">
        <v>51</v>
      </c>
      <c r="AK16" s="315"/>
      <c r="AL16" s="315"/>
      <c r="AM16" s="314"/>
      <c r="AN16" s="315"/>
      <c r="AO16" s="315"/>
      <c r="AP16" s="314"/>
      <c r="AQ16" s="315"/>
      <c r="AR16" s="315"/>
      <c r="AS16" s="314"/>
      <c r="AT16" s="315"/>
      <c r="AU16" s="315"/>
      <c r="AV16" s="314"/>
      <c r="AW16" s="315"/>
      <c r="AX16" s="315"/>
      <c r="AY16" s="314"/>
      <c r="AZ16" s="315"/>
      <c r="BA16" s="315"/>
      <c r="BB16" s="314"/>
      <c r="BC16" s="315"/>
      <c r="BD16" s="315"/>
      <c r="BE16" s="314"/>
      <c r="BF16" s="315"/>
      <c r="BG16" s="315"/>
      <c r="BH16" s="314"/>
      <c r="BI16" s="315"/>
      <c r="BJ16" s="315"/>
      <c r="BK16" s="314"/>
      <c r="BL16" s="315"/>
      <c r="BM16" s="315"/>
      <c r="BN16" s="314"/>
      <c r="BO16" s="315"/>
      <c r="BP16" s="315"/>
      <c r="BQ16" s="314"/>
      <c r="BR16" s="315"/>
      <c r="BS16" s="315"/>
      <c r="BT16" s="314"/>
      <c r="BU16" s="315"/>
      <c r="BV16" s="315"/>
      <c r="BW16" s="314"/>
      <c r="BX16" s="315"/>
      <c r="BY16" s="315"/>
      <c r="BZ16" s="314"/>
      <c r="CA16" s="315"/>
      <c r="CB16" s="315"/>
      <c r="CC16" s="314"/>
      <c r="CD16" s="315"/>
      <c r="CE16" s="315"/>
      <c r="CF16" s="314"/>
      <c r="CG16" s="315"/>
      <c r="CH16" s="315"/>
      <c r="CI16" s="314"/>
      <c r="CJ16" s="315"/>
      <c r="CK16" s="315"/>
      <c r="CL16" s="314"/>
      <c r="CM16" s="315"/>
      <c r="CN16" s="315"/>
      <c r="CO16" s="314"/>
      <c r="CP16" s="315"/>
      <c r="CQ16" s="315"/>
    </row>
    <row r="17" spans="1:95" s="13" customFormat="1" ht="15" customHeight="1" x14ac:dyDescent="0.25">
      <c r="A17" s="62" t="s">
        <v>35</v>
      </c>
      <c r="B17" s="62" t="s">
        <v>35</v>
      </c>
      <c r="C17" s="62"/>
      <c r="D17" s="347" t="s">
        <v>54</v>
      </c>
      <c r="E17" s="348"/>
      <c r="F17" s="308" t="s">
        <v>55</v>
      </c>
      <c r="G17" s="309"/>
      <c r="H17" s="309"/>
      <c r="I17" s="308" t="s">
        <v>56</v>
      </c>
      <c r="J17" s="309"/>
      <c r="K17" s="309"/>
      <c r="L17" s="308" t="s">
        <v>57</v>
      </c>
      <c r="M17" s="309"/>
      <c r="N17" s="309"/>
      <c r="O17" s="308" t="s">
        <v>58</v>
      </c>
      <c r="P17" s="309"/>
      <c r="Q17" s="309"/>
      <c r="R17" s="308" t="s">
        <v>59</v>
      </c>
      <c r="S17" s="309"/>
      <c r="T17" s="309"/>
      <c r="U17" s="308" t="s">
        <v>59</v>
      </c>
      <c r="V17" s="309"/>
      <c r="W17" s="309"/>
      <c r="X17" s="308" t="s">
        <v>60</v>
      </c>
      <c r="Y17" s="309"/>
      <c r="Z17" s="309"/>
      <c r="AA17" s="308" t="s">
        <v>61</v>
      </c>
      <c r="AB17" s="309"/>
      <c r="AC17" s="309"/>
      <c r="AD17" s="308" t="s">
        <v>62</v>
      </c>
      <c r="AE17" s="309"/>
      <c r="AF17" s="309"/>
      <c r="AG17" s="308" t="s">
        <v>63</v>
      </c>
      <c r="AH17" s="309"/>
      <c r="AI17" s="309"/>
      <c r="AJ17" s="308" t="s">
        <v>63</v>
      </c>
      <c r="AK17" s="309"/>
      <c r="AL17" s="309"/>
      <c r="AM17" s="308"/>
      <c r="AN17" s="309"/>
      <c r="AO17" s="309"/>
      <c r="AP17" s="308"/>
      <c r="AQ17" s="309"/>
      <c r="AR17" s="309"/>
      <c r="AS17" s="308"/>
      <c r="AT17" s="309"/>
      <c r="AU17" s="309"/>
      <c r="AV17" s="308"/>
      <c r="AW17" s="309"/>
      <c r="AX17" s="309"/>
      <c r="AY17" s="308"/>
      <c r="AZ17" s="309"/>
      <c r="BA17" s="309"/>
      <c r="BB17" s="308"/>
      <c r="BC17" s="309"/>
      <c r="BD17" s="309"/>
      <c r="BE17" s="308"/>
      <c r="BF17" s="309"/>
      <c r="BG17" s="309"/>
      <c r="BH17" s="308"/>
      <c r="BI17" s="309"/>
      <c r="BJ17" s="309"/>
      <c r="BK17" s="308"/>
      <c r="BL17" s="309"/>
      <c r="BM17" s="309"/>
      <c r="BN17" s="308"/>
      <c r="BO17" s="309"/>
      <c r="BP17" s="309"/>
      <c r="BQ17" s="308"/>
      <c r="BR17" s="309"/>
      <c r="BS17" s="309"/>
      <c r="BT17" s="308"/>
      <c r="BU17" s="309"/>
      <c r="BV17" s="309"/>
      <c r="BW17" s="308"/>
      <c r="BX17" s="309"/>
      <c r="BY17" s="309"/>
      <c r="BZ17" s="308"/>
      <c r="CA17" s="309"/>
      <c r="CB17" s="309"/>
      <c r="CC17" s="308"/>
      <c r="CD17" s="309"/>
      <c r="CE17" s="309"/>
      <c r="CF17" s="308"/>
      <c r="CG17" s="309"/>
      <c r="CH17" s="309"/>
      <c r="CI17" s="308"/>
      <c r="CJ17" s="309"/>
      <c r="CK17" s="309"/>
      <c r="CL17" s="308"/>
      <c r="CM17" s="309"/>
      <c r="CN17" s="309"/>
      <c r="CO17" s="308"/>
      <c r="CP17" s="309"/>
      <c r="CQ17" s="309"/>
    </row>
    <row r="18" spans="1:95" s="13" customFormat="1" ht="15" customHeight="1" x14ac:dyDescent="0.25">
      <c r="A18" s="62" t="s">
        <v>35</v>
      </c>
      <c r="B18" s="62" t="s">
        <v>35</v>
      </c>
      <c r="C18" s="62"/>
      <c r="D18" s="347" t="s">
        <v>64</v>
      </c>
      <c r="E18" s="348"/>
      <c r="F18" s="308" t="s">
        <v>65</v>
      </c>
      <c r="G18" s="309"/>
      <c r="H18" s="309"/>
      <c r="I18" s="308" t="s">
        <v>66</v>
      </c>
      <c r="J18" s="309"/>
      <c r="K18" s="309"/>
      <c r="L18" s="308" t="s">
        <v>65</v>
      </c>
      <c r="M18" s="309"/>
      <c r="N18" s="309"/>
      <c r="O18" s="308" t="s">
        <v>66</v>
      </c>
      <c r="P18" s="309"/>
      <c r="Q18" s="309"/>
      <c r="R18" s="308" t="s">
        <v>65</v>
      </c>
      <c r="S18" s="309"/>
      <c r="T18" s="309"/>
      <c r="U18" s="308" t="s">
        <v>65</v>
      </c>
      <c r="V18" s="309"/>
      <c r="W18" s="309"/>
      <c r="X18" s="308" t="s">
        <v>65</v>
      </c>
      <c r="Y18" s="309"/>
      <c r="Z18" s="309"/>
      <c r="AA18" s="308" t="s">
        <v>66</v>
      </c>
      <c r="AB18" s="309"/>
      <c r="AC18" s="309"/>
      <c r="AD18" s="308" t="s">
        <v>65</v>
      </c>
      <c r="AE18" s="309"/>
      <c r="AF18" s="309"/>
      <c r="AG18" s="308" t="s">
        <v>65</v>
      </c>
      <c r="AH18" s="309"/>
      <c r="AI18" s="309"/>
      <c r="AJ18" s="308" t="s">
        <v>65</v>
      </c>
      <c r="AK18" s="309"/>
      <c r="AL18" s="309"/>
      <c r="AM18" s="308"/>
      <c r="AN18" s="309"/>
      <c r="AO18" s="309"/>
      <c r="AP18" s="308"/>
      <c r="AQ18" s="309"/>
      <c r="AR18" s="309"/>
      <c r="AS18" s="308"/>
      <c r="AT18" s="309"/>
      <c r="AU18" s="309"/>
      <c r="AV18" s="308"/>
      <c r="AW18" s="309"/>
      <c r="AX18" s="309"/>
      <c r="AY18" s="308"/>
      <c r="AZ18" s="309"/>
      <c r="BA18" s="309"/>
      <c r="BB18" s="308"/>
      <c r="BC18" s="309"/>
      <c r="BD18" s="309"/>
      <c r="BE18" s="308"/>
      <c r="BF18" s="309"/>
      <c r="BG18" s="309"/>
      <c r="BH18" s="308"/>
      <c r="BI18" s="309"/>
      <c r="BJ18" s="309"/>
      <c r="BK18" s="308"/>
      <c r="BL18" s="309"/>
      <c r="BM18" s="309"/>
      <c r="BN18" s="308"/>
      <c r="BO18" s="309"/>
      <c r="BP18" s="309"/>
      <c r="BQ18" s="308"/>
      <c r="BR18" s="309"/>
      <c r="BS18" s="309"/>
      <c r="BT18" s="308"/>
      <c r="BU18" s="309"/>
      <c r="BV18" s="309"/>
      <c r="BW18" s="308"/>
      <c r="BX18" s="309"/>
      <c r="BY18" s="309"/>
      <c r="BZ18" s="308"/>
      <c r="CA18" s="309"/>
      <c r="CB18" s="309"/>
      <c r="CC18" s="308"/>
      <c r="CD18" s="309"/>
      <c r="CE18" s="309"/>
      <c r="CF18" s="308"/>
      <c r="CG18" s="309"/>
      <c r="CH18" s="309"/>
      <c r="CI18" s="308"/>
      <c r="CJ18" s="309"/>
      <c r="CK18" s="309"/>
      <c r="CL18" s="308"/>
      <c r="CM18" s="309"/>
      <c r="CN18" s="309"/>
      <c r="CO18" s="308"/>
      <c r="CP18" s="309"/>
      <c r="CQ18" s="309"/>
    </row>
    <row r="19" spans="1:95" s="13" customFormat="1" ht="15" customHeight="1" x14ac:dyDescent="0.25">
      <c r="A19" s="62" t="s">
        <v>35</v>
      </c>
      <c r="B19" s="62" t="s">
        <v>35</v>
      </c>
      <c r="C19" s="62"/>
      <c r="D19" s="347" t="s">
        <v>67</v>
      </c>
      <c r="E19" s="348"/>
      <c r="F19" s="308" t="s">
        <v>68</v>
      </c>
      <c r="G19" s="309"/>
      <c r="H19" s="309"/>
      <c r="I19" s="308" t="s">
        <v>69</v>
      </c>
      <c r="J19" s="309"/>
      <c r="K19" s="309"/>
      <c r="L19" s="308" t="s">
        <v>70</v>
      </c>
      <c r="M19" s="309"/>
      <c r="N19" s="309"/>
      <c r="O19" s="308" t="s">
        <v>71</v>
      </c>
      <c r="P19" s="309"/>
      <c r="Q19" s="309"/>
      <c r="R19" s="308" t="s">
        <v>72</v>
      </c>
      <c r="S19" s="309"/>
      <c r="T19" s="309"/>
      <c r="U19" s="308" t="s">
        <v>72</v>
      </c>
      <c r="V19" s="309"/>
      <c r="W19" s="309"/>
      <c r="X19" s="308" t="s">
        <v>69</v>
      </c>
      <c r="Y19" s="309"/>
      <c r="Z19" s="309"/>
      <c r="AA19" s="308" t="s">
        <v>69</v>
      </c>
      <c r="AB19" s="309"/>
      <c r="AC19" s="309"/>
      <c r="AD19" s="308" t="s">
        <v>70</v>
      </c>
      <c r="AE19" s="309"/>
      <c r="AF19" s="309"/>
      <c r="AG19" s="308" t="s">
        <v>70</v>
      </c>
      <c r="AH19" s="309"/>
      <c r="AI19" s="309"/>
      <c r="AJ19" s="308" t="s">
        <v>70</v>
      </c>
      <c r="AK19" s="309"/>
      <c r="AL19" s="309"/>
      <c r="AM19" s="308"/>
      <c r="AN19" s="309"/>
      <c r="AO19" s="309"/>
      <c r="AP19" s="308"/>
      <c r="AQ19" s="309"/>
      <c r="AR19" s="309"/>
      <c r="AS19" s="308"/>
      <c r="AT19" s="309"/>
      <c r="AU19" s="309"/>
      <c r="AV19" s="308"/>
      <c r="AW19" s="309"/>
      <c r="AX19" s="309"/>
      <c r="AY19" s="308"/>
      <c r="AZ19" s="309"/>
      <c r="BA19" s="309"/>
      <c r="BB19" s="308"/>
      <c r="BC19" s="309"/>
      <c r="BD19" s="309"/>
      <c r="BE19" s="308"/>
      <c r="BF19" s="309"/>
      <c r="BG19" s="309"/>
      <c r="BH19" s="308"/>
      <c r="BI19" s="309"/>
      <c r="BJ19" s="309"/>
      <c r="BK19" s="308"/>
      <c r="BL19" s="309"/>
      <c r="BM19" s="309"/>
      <c r="BN19" s="308"/>
      <c r="BO19" s="309"/>
      <c r="BP19" s="309"/>
      <c r="BQ19" s="308"/>
      <c r="BR19" s="309"/>
      <c r="BS19" s="309"/>
      <c r="BT19" s="308"/>
      <c r="BU19" s="309"/>
      <c r="BV19" s="309"/>
      <c r="BW19" s="308"/>
      <c r="BX19" s="309"/>
      <c r="BY19" s="309"/>
      <c r="BZ19" s="308"/>
      <c r="CA19" s="309"/>
      <c r="CB19" s="309"/>
      <c r="CC19" s="308"/>
      <c r="CD19" s="309"/>
      <c r="CE19" s="309"/>
      <c r="CF19" s="308"/>
      <c r="CG19" s="309"/>
      <c r="CH19" s="309"/>
      <c r="CI19" s="308"/>
      <c r="CJ19" s="309"/>
      <c r="CK19" s="309"/>
      <c r="CL19" s="308"/>
      <c r="CM19" s="309"/>
      <c r="CN19" s="309"/>
      <c r="CO19" s="308"/>
      <c r="CP19" s="309"/>
      <c r="CQ19" s="309"/>
    </row>
    <row r="20" spans="1:95" s="13" customFormat="1" ht="15" customHeight="1" x14ac:dyDescent="0.25">
      <c r="A20" s="62" t="s">
        <v>35</v>
      </c>
      <c r="B20" s="62" t="s">
        <v>35</v>
      </c>
      <c r="C20" s="62"/>
      <c r="D20" s="347" t="s">
        <v>73</v>
      </c>
      <c r="E20" s="348"/>
      <c r="F20" s="308" t="s">
        <v>74</v>
      </c>
      <c r="G20" s="309"/>
      <c r="H20" s="309"/>
      <c r="I20" s="308">
        <v>1</v>
      </c>
      <c r="J20" s="309"/>
      <c r="K20" s="309"/>
      <c r="L20" s="308">
        <v>26</v>
      </c>
      <c r="M20" s="309"/>
      <c r="N20" s="309"/>
      <c r="O20" s="308">
        <v>1</v>
      </c>
      <c r="P20" s="309"/>
      <c r="Q20" s="309"/>
      <c r="R20" s="308">
        <v>8</v>
      </c>
      <c r="S20" s="309"/>
      <c r="T20" s="309"/>
      <c r="U20" s="308">
        <v>8</v>
      </c>
      <c r="V20" s="309"/>
      <c r="W20" s="309"/>
      <c r="X20" s="308">
        <v>26</v>
      </c>
      <c r="Y20" s="309"/>
      <c r="Z20" s="309"/>
      <c r="AA20" s="308">
        <v>1</v>
      </c>
      <c r="AB20" s="309"/>
      <c r="AC20" s="309"/>
      <c r="AD20" s="308">
        <v>3</v>
      </c>
      <c r="AE20" s="309"/>
      <c r="AF20" s="309"/>
      <c r="AG20" s="308">
        <v>9</v>
      </c>
      <c r="AH20" s="309"/>
      <c r="AI20" s="309"/>
      <c r="AJ20" s="308">
        <v>9</v>
      </c>
      <c r="AK20" s="309"/>
      <c r="AL20" s="309"/>
      <c r="AM20" s="308"/>
      <c r="AN20" s="309"/>
      <c r="AO20" s="309"/>
      <c r="AP20" s="308"/>
      <c r="AQ20" s="309"/>
      <c r="AR20" s="309"/>
      <c r="AS20" s="308"/>
      <c r="AT20" s="309"/>
      <c r="AU20" s="309"/>
      <c r="AV20" s="308"/>
      <c r="AW20" s="309"/>
      <c r="AX20" s="309"/>
      <c r="AY20" s="308"/>
      <c r="AZ20" s="309"/>
      <c r="BA20" s="309"/>
      <c r="BB20" s="308"/>
      <c r="BC20" s="309"/>
      <c r="BD20" s="309"/>
      <c r="BE20" s="308"/>
      <c r="BF20" s="309"/>
      <c r="BG20" s="309"/>
      <c r="BH20" s="308"/>
      <c r="BI20" s="309"/>
      <c r="BJ20" s="309"/>
      <c r="BK20" s="308"/>
      <c r="BL20" s="309"/>
      <c r="BM20" s="309"/>
      <c r="BN20" s="308"/>
      <c r="BO20" s="309"/>
      <c r="BP20" s="309"/>
      <c r="BQ20" s="308"/>
      <c r="BR20" s="309"/>
      <c r="BS20" s="309"/>
      <c r="BT20" s="308"/>
      <c r="BU20" s="309"/>
      <c r="BV20" s="309"/>
      <c r="BW20" s="308"/>
      <c r="BX20" s="309"/>
      <c r="BY20" s="309"/>
      <c r="BZ20" s="308"/>
      <c r="CA20" s="309"/>
      <c r="CB20" s="309"/>
      <c r="CC20" s="308"/>
      <c r="CD20" s="309"/>
      <c r="CE20" s="309"/>
      <c r="CF20" s="308"/>
      <c r="CG20" s="309"/>
      <c r="CH20" s="309"/>
      <c r="CI20" s="308"/>
      <c r="CJ20" s="309"/>
      <c r="CK20" s="309"/>
      <c r="CL20" s="308"/>
      <c r="CM20" s="309"/>
      <c r="CN20" s="309"/>
      <c r="CO20" s="308"/>
      <c r="CP20" s="309"/>
      <c r="CQ20" s="309"/>
    </row>
    <row r="21" spans="1:95" s="13" customFormat="1" ht="45" customHeight="1" x14ac:dyDescent="0.25">
      <c r="A21" s="62" t="s">
        <v>35</v>
      </c>
      <c r="B21" s="62" t="s">
        <v>35</v>
      </c>
      <c r="C21" s="62"/>
      <c r="D21" s="347" t="s">
        <v>75</v>
      </c>
      <c r="E21" s="348"/>
      <c r="F21" s="308" t="s">
        <v>76</v>
      </c>
      <c r="G21" s="309"/>
      <c r="H21" s="309"/>
      <c r="I21" s="308" t="s">
        <v>77</v>
      </c>
      <c r="J21" s="309"/>
      <c r="K21" s="309"/>
      <c r="L21" s="308" t="s">
        <v>78</v>
      </c>
      <c r="M21" s="309"/>
      <c r="N21" s="309"/>
      <c r="O21" s="308" t="s">
        <v>79</v>
      </c>
      <c r="P21" s="309"/>
      <c r="Q21" s="309"/>
      <c r="R21" s="308" t="s">
        <v>80</v>
      </c>
      <c r="S21" s="309"/>
      <c r="T21" s="309"/>
      <c r="U21" s="308" t="s">
        <v>80</v>
      </c>
      <c r="V21" s="309"/>
      <c r="W21" s="309"/>
      <c r="X21" s="308" t="s">
        <v>81</v>
      </c>
      <c r="Y21" s="309"/>
      <c r="Z21" s="309"/>
      <c r="AA21" s="308" t="s">
        <v>82</v>
      </c>
      <c r="AB21" s="309"/>
      <c r="AC21" s="309"/>
      <c r="AD21" s="308" t="s">
        <v>83</v>
      </c>
      <c r="AE21" s="309"/>
      <c r="AF21" s="309"/>
      <c r="AG21" s="308" t="s">
        <v>84</v>
      </c>
      <c r="AH21" s="309"/>
      <c r="AI21" s="309"/>
      <c r="AJ21" s="308" t="s">
        <v>84</v>
      </c>
      <c r="AK21" s="309"/>
      <c r="AL21" s="309"/>
      <c r="AM21" s="308"/>
      <c r="AN21" s="309"/>
      <c r="AO21" s="309"/>
      <c r="AP21" s="308"/>
      <c r="AQ21" s="309"/>
      <c r="AR21" s="309"/>
      <c r="AS21" s="308"/>
      <c r="AT21" s="309"/>
      <c r="AU21" s="309"/>
      <c r="AV21" s="308"/>
      <c r="AW21" s="309"/>
      <c r="AX21" s="309"/>
      <c r="AY21" s="308"/>
      <c r="AZ21" s="309"/>
      <c r="BA21" s="309"/>
      <c r="BB21" s="308"/>
      <c r="BC21" s="309"/>
      <c r="BD21" s="309"/>
      <c r="BE21" s="308"/>
      <c r="BF21" s="309"/>
      <c r="BG21" s="309"/>
      <c r="BH21" s="308"/>
      <c r="BI21" s="309"/>
      <c r="BJ21" s="309"/>
      <c r="BK21" s="308"/>
      <c r="BL21" s="309"/>
      <c r="BM21" s="309"/>
      <c r="BN21" s="308"/>
      <c r="BO21" s="309"/>
      <c r="BP21" s="309"/>
      <c r="BQ21" s="308"/>
      <c r="BR21" s="309"/>
      <c r="BS21" s="309"/>
      <c r="BT21" s="308"/>
      <c r="BU21" s="309"/>
      <c r="BV21" s="309"/>
      <c r="BW21" s="308"/>
      <c r="BX21" s="309"/>
      <c r="BY21" s="309"/>
      <c r="BZ21" s="308"/>
      <c r="CA21" s="309"/>
      <c r="CB21" s="309"/>
      <c r="CC21" s="308"/>
      <c r="CD21" s="309"/>
      <c r="CE21" s="309"/>
      <c r="CF21" s="308"/>
      <c r="CG21" s="309"/>
      <c r="CH21" s="309"/>
      <c r="CI21" s="308"/>
      <c r="CJ21" s="309"/>
      <c r="CK21" s="309"/>
      <c r="CL21" s="308"/>
      <c r="CM21" s="309"/>
      <c r="CN21" s="309"/>
      <c r="CO21" s="308"/>
      <c r="CP21" s="309"/>
      <c r="CQ21" s="309"/>
    </row>
    <row r="22" spans="1:95" s="13" customFormat="1" ht="45" customHeight="1" x14ac:dyDescent="0.25">
      <c r="A22" s="62" t="s">
        <v>35</v>
      </c>
      <c r="B22" s="62" t="s">
        <v>35</v>
      </c>
      <c r="C22" s="62"/>
      <c r="D22" s="357" t="s">
        <v>85</v>
      </c>
      <c r="E22" s="358"/>
      <c r="F22" s="312" t="s">
        <v>86</v>
      </c>
      <c r="G22" s="313"/>
      <c r="H22" s="313"/>
      <c r="I22" s="308" t="s">
        <v>87</v>
      </c>
      <c r="J22" s="309"/>
      <c r="K22" s="309"/>
      <c r="L22" s="308" t="s">
        <v>52</v>
      </c>
      <c r="M22" s="309"/>
      <c r="N22" s="309"/>
      <c r="O22" s="308" t="s">
        <v>52</v>
      </c>
      <c r="P22" s="309"/>
      <c r="Q22" s="309"/>
      <c r="R22" s="308" t="s">
        <v>52</v>
      </c>
      <c r="S22" s="309"/>
      <c r="T22" s="309"/>
      <c r="U22" s="308" t="s">
        <v>52</v>
      </c>
      <c r="V22" s="309"/>
      <c r="W22" s="309"/>
      <c r="X22" s="308" t="s">
        <v>52</v>
      </c>
      <c r="Y22" s="309"/>
      <c r="Z22" s="309"/>
      <c r="AA22" s="308" t="s">
        <v>52</v>
      </c>
      <c r="AB22" s="309"/>
      <c r="AC22" s="309"/>
      <c r="AD22" s="308" t="s">
        <v>88</v>
      </c>
      <c r="AE22" s="309"/>
      <c r="AF22" s="309"/>
      <c r="AG22" s="308" t="s">
        <v>89</v>
      </c>
      <c r="AH22" s="309"/>
      <c r="AI22" s="309"/>
      <c r="AJ22" s="308" t="s">
        <v>89</v>
      </c>
      <c r="AK22" s="309"/>
      <c r="AL22" s="309"/>
      <c r="AM22" s="308"/>
      <c r="AN22" s="309"/>
      <c r="AO22" s="309"/>
      <c r="AP22" s="308"/>
      <c r="AQ22" s="309"/>
      <c r="AR22" s="309"/>
      <c r="AS22" s="308"/>
      <c r="AT22" s="309"/>
      <c r="AU22" s="309"/>
      <c r="AV22" s="308"/>
      <c r="AW22" s="309"/>
      <c r="AX22" s="309"/>
      <c r="AY22" s="308"/>
      <c r="AZ22" s="309"/>
      <c r="BA22" s="309"/>
      <c r="BB22" s="308"/>
      <c r="BC22" s="309"/>
      <c r="BD22" s="309"/>
      <c r="BE22" s="308"/>
      <c r="BF22" s="309"/>
      <c r="BG22" s="309"/>
      <c r="BH22" s="308"/>
      <c r="BI22" s="309"/>
      <c r="BJ22" s="309"/>
      <c r="BK22" s="308"/>
      <c r="BL22" s="309"/>
      <c r="BM22" s="309"/>
      <c r="BN22" s="308"/>
      <c r="BO22" s="309"/>
      <c r="BP22" s="309"/>
      <c r="BQ22" s="308"/>
      <c r="BR22" s="309"/>
      <c r="BS22" s="309"/>
      <c r="BT22" s="308"/>
      <c r="BU22" s="309"/>
      <c r="BV22" s="309"/>
      <c r="BW22" s="308"/>
      <c r="BX22" s="309"/>
      <c r="BY22" s="309"/>
      <c r="BZ22" s="308"/>
      <c r="CA22" s="309"/>
      <c r="CB22" s="309"/>
      <c r="CC22" s="308"/>
      <c r="CD22" s="309"/>
      <c r="CE22" s="309"/>
      <c r="CF22" s="308"/>
      <c r="CG22" s="309"/>
      <c r="CH22" s="309"/>
      <c r="CI22" s="308"/>
      <c r="CJ22" s="309"/>
      <c r="CK22" s="309"/>
      <c r="CL22" s="308"/>
      <c r="CM22" s="309"/>
      <c r="CN22" s="309"/>
      <c r="CO22" s="308"/>
      <c r="CP22" s="309"/>
      <c r="CQ22" s="309"/>
    </row>
    <row r="23" spans="1:95" s="13" customFormat="1" ht="15" customHeight="1" x14ac:dyDescent="0.25">
      <c r="A23" s="62" t="s">
        <v>35</v>
      </c>
      <c r="B23" s="62" t="s">
        <v>35</v>
      </c>
      <c r="C23" s="62"/>
      <c r="D23" s="65" t="s">
        <v>90</v>
      </c>
      <c r="E23" s="66" t="s">
        <v>91</v>
      </c>
      <c r="F23" s="327" t="s">
        <v>92</v>
      </c>
      <c r="G23" s="328"/>
      <c r="H23" s="57" t="s">
        <v>93</v>
      </c>
      <c r="I23" s="327" t="s">
        <v>92</v>
      </c>
      <c r="J23" s="328"/>
      <c r="K23" s="57" t="s">
        <v>93</v>
      </c>
      <c r="L23" s="327" t="s">
        <v>92</v>
      </c>
      <c r="M23" s="328"/>
      <c r="N23" s="57" t="s">
        <v>93</v>
      </c>
      <c r="O23" s="327" t="s">
        <v>92</v>
      </c>
      <c r="P23" s="328"/>
      <c r="Q23" s="57" t="s">
        <v>93</v>
      </c>
      <c r="R23" s="327" t="s">
        <v>92</v>
      </c>
      <c r="S23" s="328"/>
      <c r="T23" s="57" t="s">
        <v>93</v>
      </c>
      <c r="U23" s="327" t="s">
        <v>92</v>
      </c>
      <c r="V23" s="328"/>
      <c r="W23" s="57" t="s">
        <v>93</v>
      </c>
      <c r="X23" s="327" t="s">
        <v>92</v>
      </c>
      <c r="Y23" s="328"/>
      <c r="Z23" s="57" t="s">
        <v>93</v>
      </c>
      <c r="AA23" s="327" t="s">
        <v>92</v>
      </c>
      <c r="AB23" s="328"/>
      <c r="AC23" s="57" t="s">
        <v>93</v>
      </c>
      <c r="AD23" s="327" t="s">
        <v>92</v>
      </c>
      <c r="AE23" s="328"/>
      <c r="AF23" s="57" t="s">
        <v>93</v>
      </c>
      <c r="AG23" s="327" t="s">
        <v>92</v>
      </c>
      <c r="AH23" s="328"/>
      <c r="AI23" s="57" t="s">
        <v>93</v>
      </c>
      <c r="AJ23" s="327" t="s">
        <v>92</v>
      </c>
      <c r="AK23" s="328"/>
      <c r="AL23" s="57" t="s">
        <v>93</v>
      </c>
      <c r="AM23" s="327" t="s">
        <v>92</v>
      </c>
      <c r="AN23" s="328"/>
      <c r="AO23" s="57" t="s">
        <v>93</v>
      </c>
      <c r="AP23" s="327" t="s">
        <v>92</v>
      </c>
      <c r="AQ23" s="328"/>
      <c r="AR23" s="57" t="s">
        <v>93</v>
      </c>
      <c r="AS23" s="327" t="s">
        <v>92</v>
      </c>
      <c r="AT23" s="328"/>
      <c r="AU23" s="57" t="s">
        <v>93</v>
      </c>
      <c r="AV23" s="327" t="s">
        <v>92</v>
      </c>
      <c r="AW23" s="328"/>
      <c r="AX23" s="57" t="s">
        <v>93</v>
      </c>
      <c r="AY23" s="327" t="s">
        <v>92</v>
      </c>
      <c r="AZ23" s="328"/>
      <c r="BA23" s="57" t="s">
        <v>93</v>
      </c>
      <c r="BB23" s="327" t="s">
        <v>92</v>
      </c>
      <c r="BC23" s="328"/>
      <c r="BD23" s="57" t="s">
        <v>93</v>
      </c>
      <c r="BE23" s="327" t="s">
        <v>92</v>
      </c>
      <c r="BF23" s="328"/>
      <c r="BG23" s="57" t="s">
        <v>93</v>
      </c>
      <c r="BH23" s="327" t="s">
        <v>92</v>
      </c>
      <c r="BI23" s="328"/>
      <c r="BJ23" s="57" t="s">
        <v>93</v>
      </c>
      <c r="BK23" s="327" t="s">
        <v>92</v>
      </c>
      <c r="BL23" s="328"/>
      <c r="BM23" s="57" t="s">
        <v>93</v>
      </c>
      <c r="BN23" s="327" t="s">
        <v>92</v>
      </c>
      <c r="BO23" s="328"/>
      <c r="BP23" s="57" t="s">
        <v>93</v>
      </c>
      <c r="BQ23" s="327" t="s">
        <v>92</v>
      </c>
      <c r="BR23" s="328"/>
      <c r="BS23" s="57" t="s">
        <v>93</v>
      </c>
      <c r="BT23" s="327" t="s">
        <v>92</v>
      </c>
      <c r="BU23" s="328"/>
      <c r="BV23" s="57" t="s">
        <v>93</v>
      </c>
      <c r="BW23" s="327" t="s">
        <v>92</v>
      </c>
      <c r="BX23" s="328"/>
      <c r="BY23" s="57" t="s">
        <v>93</v>
      </c>
      <c r="BZ23" s="327" t="s">
        <v>92</v>
      </c>
      <c r="CA23" s="328"/>
      <c r="CB23" s="57" t="s">
        <v>93</v>
      </c>
      <c r="CC23" s="327" t="s">
        <v>92</v>
      </c>
      <c r="CD23" s="328"/>
      <c r="CE23" s="57" t="s">
        <v>93</v>
      </c>
      <c r="CF23" s="327" t="s">
        <v>92</v>
      </c>
      <c r="CG23" s="328"/>
      <c r="CH23" s="57" t="s">
        <v>93</v>
      </c>
      <c r="CI23" s="327" t="s">
        <v>92</v>
      </c>
      <c r="CJ23" s="328"/>
      <c r="CK23" s="57" t="s">
        <v>93</v>
      </c>
      <c r="CL23" s="327" t="s">
        <v>92</v>
      </c>
      <c r="CM23" s="328"/>
      <c r="CN23" s="57" t="s">
        <v>93</v>
      </c>
      <c r="CO23" s="327" t="s">
        <v>92</v>
      </c>
      <c r="CP23" s="328"/>
      <c r="CQ23" s="57" t="s">
        <v>93</v>
      </c>
    </row>
    <row r="24" spans="1:95" s="13" customFormat="1" ht="15" customHeight="1" x14ac:dyDescent="0.25">
      <c r="A24" s="62" t="s">
        <v>35</v>
      </c>
      <c r="B24" s="62" t="s">
        <v>35</v>
      </c>
      <c r="C24" s="62"/>
      <c r="D24" s="67" t="str">
        <f>IF(E24="","2.8.1 Characteristic 1", CONCATENATE("2.8.1 ", E24))</f>
        <v>2.8.1 Age of participants</v>
      </c>
      <c r="E24" s="79" t="s">
        <v>94</v>
      </c>
      <c r="F24" s="306" t="s">
        <v>95</v>
      </c>
      <c r="G24" s="307"/>
      <c r="H24" s="174" t="s">
        <v>96</v>
      </c>
      <c r="I24" s="306" t="s">
        <v>97</v>
      </c>
      <c r="J24" s="307"/>
      <c r="K24" s="174" t="s">
        <v>98</v>
      </c>
      <c r="L24" s="306" t="s">
        <v>99</v>
      </c>
      <c r="M24" s="307"/>
      <c r="N24" s="174" t="s">
        <v>98</v>
      </c>
      <c r="O24" s="306" t="s">
        <v>100</v>
      </c>
      <c r="P24" s="307"/>
      <c r="Q24" s="174" t="s">
        <v>96</v>
      </c>
      <c r="R24" s="306" t="s">
        <v>101</v>
      </c>
      <c r="S24" s="307"/>
      <c r="T24" s="174" t="s">
        <v>98</v>
      </c>
      <c r="U24" s="306" t="s">
        <v>101</v>
      </c>
      <c r="V24" s="307"/>
      <c r="W24" s="174" t="s">
        <v>98</v>
      </c>
      <c r="X24" s="306" t="s">
        <v>102</v>
      </c>
      <c r="Y24" s="307"/>
      <c r="Z24" s="174" t="s">
        <v>98</v>
      </c>
      <c r="AA24" s="306" t="s">
        <v>103</v>
      </c>
      <c r="AB24" s="307"/>
      <c r="AC24" s="174" t="s">
        <v>98</v>
      </c>
      <c r="AD24" s="306" t="s">
        <v>104</v>
      </c>
      <c r="AE24" s="307"/>
      <c r="AF24" s="174" t="s">
        <v>98</v>
      </c>
      <c r="AG24" s="306" t="s">
        <v>105</v>
      </c>
      <c r="AH24" s="307"/>
      <c r="AI24" s="174" t="s">
        <v>98</v>
      </c>
      <c r="AJ24" s="306" t="s">
        <v>105</v>
      </c>
      <c r="AK24" s="307"/>
      <c r="AL24" s="174" t="s">
        <v>98</v>
      </c>
      <c r="AM24" s="306"/>
      <c r="AN24" s="307"/>
      <c r="AO24" s="174"/>
      <c r="AP24" s="306"/>
      <c r="AQ24" s="307"/>
      <c r="AR24" s="174"/>
      <c r="AS24" s="306"/>
      <c r="AT24" s="307"/>
      <c r="AU24" s="174"/>
      <c r="AV24" s="306"/>
      <c r="AW24" s="307"/>
      <c r="AX24" s="174"/>
      <c r="AY24" s="306"/>
      <c r="AZ24" s="307"/>
      <c r="BA24" s="174"/>
      <c r="BB24" s="306"/>
      <c r="BC24" s="307"/>
      <c r="BD24" s="174"/>
      <c r="BE24" s="306"/>
      <c r="BF24" s="307"/>
      <c r="BG24" s="174"/>
      <c r="BH24" s="306"/>
      <c r="BI24" s="307"/>
      <c r="BJ24" s="174"/>
      <c r="BK24" s="306"/>
      <c r="BL24" s="307"/>
      <c r="BM24" s="174"/>
      <c r="BN24" s="306"/>
      <c r="BO24" s="307"/>
      <c r="BP24" s="174"/>
      <c r="BQ24" s="306"/>
      <c r="BR24" s="307"/>
      <c r="BS24" s="174"/>
      <c r="BT24" s="306"/>
      <c r="BU24" s="307"/>
      <c r="BV24" s="174"/>
      <c r="BW24" s="306"/>
      <c r="BX24" s="307"/>
      <c r="BY24" s="174"/>
      <c r="BZ24" s="306"/>
      <c r="CA24" s="307"/>
      <c r="CB24" s="174"/>
      <c r="CC24" s="306"/>
      <c r="CD24" s="307"/>
      <c r="CE24" s="174"/>
      <c r="CF24" s="306"/>
      <c r="CG24" s="307"/>
      <c r="CH24" s="174"/>
      <c r="CI24" s="306"/>
      <c r="CJ24" s="307"/>
      <c r="CK24" s="174"/>
      <c r="CL24" s="306"/>
      <c r="CM24" s="307"/>
      <c r="CN24" s="174"/>
      <c r="CO24" s="306"/>
      <c r="CP24" s="307"/>
      <c r="CQ24" s="174"/>
    </row>
    <row r="25" spans="1:95" s="13" customFormat="1" ht="15" customHeight="1" x14ac:dyDescent="0.25">
      <c r="A25" s="62" t="s">
        <v>35</v>
      </c>
      <c r="B25" s="62" t="s">
        <v>35</v>
      </c>
      <c r="C25" s="62"/>
      <c r="D25" s="67" t="str">
        <f>IF(E25="","2.8.2 Characteristic 2", CONCATENATE("2.8.2 ", E25))</f>
        <v>2.8.2 Native valve endocarditis</v>
      </c>
      <c r="E25" s="79" t="s">
        <v>106</v>
      </c>
      <c r="F25" s="302" t="s">
        <v>52</v>
      </c>
      <c r="G25" s="303"/>
      <c r="H25" s="175" t="s">
        <v>52</v>
      </c>
      <c r="I25" s="302" t="s">
        <v>107</v>
      </c>
      <c r="J25" s="303"/>
      <c r="K25" s="175" t="s">
        <v>108</v>
      </c>
      <c r="L25" s="302" t="s">
        <v>109</v>
      </c>
      <c r="M25" s="303"/>
      <c r="N25" s="175" t="s">
        <v>108</v>
      </c>
      <c r="O25" s="302" t="s">
        <v>110</v>
      </c>
      <c r="P25" s="303"/>
      <c r="Q25" s="175" t="s">
        <v>108</v>
      </c>
      <c r="R25" s="302" t="s">
        <v>111</v>
      </c>
      <c r="S25" s="303"/>
      <c r="T25" s="175" t="s">
        <v>108</v>
      </c>
      <c r="U25" s="302" t="s">
        <v>111</v>
      </c>
      <c r="V25" s="303"/>
      <c r="W25" s="175" t="s">
        <v>108</v>
      </c>
      <c r="X25" s="302" t="s">
        <v>112</v>
      </c>
      <c r="Y25" s="303"/>
      <c r="Z25" s="175" t="s">
        <v>108</v>
      </c>
      <c r="AA25" s="302" t="s">
        <v>113</v>
      </c>
      <c r="AB25" s="303"/>
      <c r="AC25" s="175" t="s">
        <v>108</v>
      </c>
      <c r="AD25" s="302" t="s">
        <v>114</v>
      </c>
      <c r="AE25" s="303"/>
      <c r="AF25" s="175" t="s">
        <v>108</v>
      </c>
      <c r="AG25" s="302" t="s">
        <v>52</v>
      </c>
      <c r="AH25" s="303"/>
      <c r="AI25" s="175" t="s">
        <v>52</v>
      </c>
      <c r="AJ25" s="302" t="s">
        <v>52</v>
      </c>
      <c r="AK25" s="303"/>
      <c r="AL25" s="175" t="s">
        <v>52</v>
      </c>
      <c r="AM25" s="302"/>
      <c r="AN25" s="303"/>
      <c r="AO25" s="175"/>
      <c r="AP25" s="302"/>
      <c r="AQ25" s="303"/>
      <c r="AR25" s="175"/>
      <c r="AS25" s="302"/>
      <c r="AT25" s="303"/>
      <c r="AU25" s="175"/>
      <c r="AV25" s="302"/>
      <c r="AW25" s="303"/>
      <c r="AX25" s="175"/>
      <c r="AY25" s="302"/>
      <c r="AZ25" s="303"/>
      <c r="BA25" s="175"/>
      <c r="BB25" s="302"/>
      <c r="BC25" s="303"/>
      <c r="BD25" s="175"/>
      <c r="BE25" s="302"/>
      <c r="BF25" s="303"/>
      <c r="BG25" s="175"/>
      <c r="BH25" s="302"/>
      <c r="BI25" s="303"/>
      <c r="BJ25" s="175"/>
      <c r="BK25" s="302"/>
      <c r="BL25" s="303"/>
      <c r="BM25" s="175"/>
      <c r="BN25" s="302"/>
      <c r="BO25" s="303"/>
      <c r="BP25" s="175"/>
      <c r="BQ25" s="302"/>
      <c r="BR25" s="303"/>
      <c r="BS25" s="175"/>
      <c r="BT25" s="302"/>
      <c r="BU25" s="303"/>
      <c r="BV25" s="175"/>
      <c r="BW25" s="302"/>
      <c r="BX25" s="303"/>
      <c r="BY25" s="175"/>
      <c r="BZ25" s="302"/>
      <c r="CA25" s="303"/>
      <c r="CB25" s="175"/>
      <c r="CC25" s="302"/>
      <c r="CD25" s="303"/>
      <c r="CE25" s="175"/>
      <c r="CF25" s="302"/>
      <c r="CG25" s="303"/>
      <c r="CH25" s="175"/>
      <c r="CI25" s="302"/>
      <c r="CJ25" s="303"/>
      <c r="CK25" s="175"/>
      <c r="CL25" s="302"/>
      <c r="CM25" s="303"/>
      <c r="CN25" s="175"/>
      <c r="CO25" s="302"/>
      <c r="CP25" s="303"/>
      <c r="CQ25" s="175"/>
    </row>
    <row r="26" spans="1:95" s="13" customFormat="1" ht="15" customHeight="1" x14ac:dyDescent="0.25">
      <c r="A26" s="62" t="s">
        <v>35</v>
      </c>
      <c r="B26" s="62" t="s">
        <v>35</v>
      </c>
      <c r="C26" s="62"/>
      <c r="D26" s="67" t="str">
        <f>IF(E26="","2.8.3 Characteristic 3", CONCATENATE("2.8.3 ", E26))</f>
        <v>2.8.3 Valve affected</v>
      </c>
      <c r="E26" s="79" t="s">
        <v>115</v>
      </c>
      <c r="F26" s="302" t="s">
        <v>116</v>
      </c>
      <c r="G26" s="303"/>
      <c r="H26" s="175" t="s">
        <v>117</v>
      </c>
      <c r="I26" s="302" t="s">
        <v>116</v>
      </c>
      <c r="J26" s="303"/>
      <c r="K26" s="175" t="s">
        <v>117</v>
      </c>
      <c r="L26" s="302" t="s">
        <v>116</v>
      </c>
      <c r="M26" s="303"/>
      <c r="N26" s="175" t="s">
        <v>117</v>
      </c>
      <c r="O26" s="302" t="s">
        <v>116</v>
      </c>
      <c r="P26" s="303"/>
      <c r="Q26" s="175" t="s">
        <v>117</v>
      </c>
      <c r="R26" s="302" t="s">
        <v>116</v>
      </c>
      <c r="S26" s="303"/>
      <c r="T26" s="175" t="s">
        <v>117</v>
      </c>
      <c r="U26" s="302" t="s">
        <v>116</v>
      </c>
      <c r="V26" s="303"/>
      <c r="W26" s="175" t="s">
        <v>117</v>
      </c>
      <c r="X26" s="302" t="s">
        <v>116</v>
      </c>
      <c r="Y26" s="303"/>
      <c r="Z26" s="175" t="s">
        <v>117</v>
      </c>
      <c r="AA26" s="302" t="s">
        <v>116</v>
      </c>
      <c r="AB26" s="303"/>
      <c r="AC26" s="175" t="s">
        <v>117</v>
      </c>
      <c r="AD26" s="302" t="s">
        <v>118</v>
      </c>
      <c r="AE26" s="303"/>
      <c r="AF26" s="175" t="s">
        <v>117</v>
      </c>
      <c r="AG26" s="302" t="s">
        <v>116</v>
      </c>
      <c r="AH26" s="303"/>
      <c r="AI26" s="175" t="s">
        <v>117</v>
      </c>
      <c r="AJ26" s="302" t="s">
        <v>116</v>
      </c>
      <c r="AK26" s="303"/>
      <c r="AL26" s="175" t="s">
        <v>117</v>
      </c>
      <c r="AM26" s="302"/>
      <c r="AN26" s="303"/>
      <c r="AO26" s="175"/>
      <c r="AP26" s="302"/>
      <c r="AQ26" s="303"/>
      <c r="AR26" s="175"/>
      <c r="AS26" s="302"/>
      <c r="AT26" s="303"/>
      <c r="AU26" s="175"/>
      <c r="AV26" s="302"/>
      <c r="AW26" s="303"/>
      <c r="AX26" s="175"/>
      <c r="AY26" s="302"/>
      <c r="AZ26" s="303"/>
      <c r="BA26" s="175"/>
      <c r="BB26" s="302"/>
      <c r="BC26" s="303"/>
      <c r="BD26" s="175"/>
      <c r="BE26" s="302"/>
      <c r="BF26" s="303"/>
      <c r="BG26" s="175"/>
      <c r="BH26" s="302"/>
      <c r="BI26" s="303"/>
      <c r="BJ26" s="175"/>
      <c r="BK26" s="302"/>
      <c r="BL26" s="303"/>
      <c r="BM26" s="175"/>
      <c r="BN26" s="302"/>
      <c r="BO26" s="303"/>
      <c r="BP26" s="175"/>
      <c r="BQ26" s="302"/>
      <c r="BR26" s="303"/>
      <c r="BS26" s="175"/>
      <c r="BT26" s="302"/>
      <c r="BU26" s="303"/>
      <c r="BV26" s="175"/>
      <c r="BW26" s="302"/>
      <c r="BX26" s="303"/>
      <c r="BY26" s="175"/>
      <c r="BZ26" s="302"/>
      <c r="CA26" s="303"/>
      <c r="CB26" s="175"/>
      <c r="CC26" s="302"/>
      <c r="CD26" s="303"/>
      <c r="CE26" s="175"/>
      <c r="CF26" s="302"/>
      <c r="CG26" s="303"/>
      <c r="CH26" s="175"/>
      <c r="CI26" s="302"/>
      <c r="CJ26" s="303"/>
      <c r="CK26" s="175"/>
      <c r="CL26" s="302"/>
      <c r="CM26" s="303"/>
      <c r="CN26" s="175"/>
      <c r="CO26" s="302"/>
      <c r="CP26" s="303"/>
      <c r="CQ26" s="175"/>
    </row>
    <row r="27" spans="1:95" s="13" customFormat="1" ht="15" customHeight="1" x14ac:dyDescent="0.25">
      <c r="A27" s="62" t="s">
        <v>35</v>
      </c>
      <c r="B27" s="62" t="s">
        <v>35</v>
      </c>
      <c r="C27" s="62"/>
      <c r="D27" s="67" t="str">
        <f>IF(E27="","2.8.4 Characteristic 4", CONCATENATE("2.8.4 ", E27))</f>
        <v>2.8.4 Characteristic 4</v>
      </c>
      <c r="E27" s="79"/>
      <c r="F27" s="302"/>
      <c r="G27" s="303"/>
      <c r="H27" s="175"/>
      <c r="I27" s="302"/>
      <c r="J27" s="303"/>
      <c r="K27" s="175"/>
      <c r="L27" s="302"/>
      <c r="M27" s="303"/>
      <c r="N27" s="175"/>
      <c r="O27" s="302"/>
      <c r="P27" s="303"/>
      <c r="Q27" s="175"/>
      <c r="R27" s="302"/>
      <c r="S27" s="303"/>
      <c r="T27" s="175"/>
      <c r="U27" s="302"/>
      <c r="V27" s="303"/>
      <c r="W27" s="175"/>
      <c r="X27" s="302"/>
      <c r="Y27" s="303"/>
      <c r="Z27" s="175"/>
      <c r="AA27" s="302"/>
      <c r="AB27" s="303"/>
      <c r="AC27" s="175"/>
      <c r="AD27" s="302"/>
      <c r="AE27" s="303"/>
      <c r="AF27" s="175"/>
      <c r="AG27" s="302"/>
      <c r="AH27" s="303"/>
      <c r="AI27" s="175"/>
      <c r="AJ27" s="302"/>
      <c r="AK27" s="303"/>
      <c r="AL27" s="175"/>
      <c r="AM27" s="302"/>
      <c r="AN27" s="303"/>
      <c r="AO27" s="175"/>
      <c r="AP27" s="302"/>
      <c r="AQ27" s="303"/>
      <c r="AR27" s="175"/>
      <c r="AS27" s="302"/>
      <c r="AT27" s="303"/>
      <c r="AU27" s="175"/>
      <c r="AV27" s="302"/>
      <c r="AW27" s="303"/>
      <c r="AX27" s="175"/>
      <c r="AY27" s="302"/>
      <c r="AZ27" s="303"/>
      <c r="BA27" s="175"/>
      <c r="BB27" s="302"/>
      <c r="BC27" s="303"/>
      <c r="BD27" s="175"/>
      <c r="BE27" s="302"/>
      <c r="BF27" s="303"/>
      <c r="BG27" s="175"/>
      <c r="BH27" s="302"/>
      <c r="BI27" s="303"/>
      <c r="BJ27" s="175"/>
      <c r="BK27" s="302"/>
      <c r="BL27" s="303"/>
      <c r="BM27" s="175"/>
      <c r="BN27" s="302"/>
      <c r="BO27" s="303"/>
      <c r="BP27" s="175"/>
      <c r="BQ27" s="302"/>
      <c r="BR27" s="303"/>
      <c r="BS27" s="175"/>
      <c r="BT27" s="302"/>
      <c r="BU27" s="303"/>
      <c r="BV27" s="175"/>
      <c r="BW27" s="302"/>
      <c r="BX27" s="303"/>
      <c r="BY27" s="175"/>
      <c r="BZ27" s="302"/>
      <c r="CA27" s="303"/>
      <c r="CB27" s="175"/>
      <c r="CC27" s="302"/>
      <c r="CD27" s="303"/>
      <c r="CE27" s="175"/>
      <c r="CF27" s="302"/>
      <c r="CG27" s="303"/>
      <c r="CH27" s="175"/>
      <c r="CI27" s="302"/>
      <c r="CJ27" s="303"/>
      <c r="CK27" s="175"/>
      <c r="CL27" s="302"/>
      <c r="CM27" s="303"/>
      <c r="CN27" s="175"/>
      <c r="CO27" s="302"/>
      <c r="CP27" s="303"/>
      <c r="CQ27" s="175"/>
    </row>
    <row r="28" spans="1:95" s="13" customFormat="1" ht="15" customHeight="1" x14ac:dyDescent="0.25">
      <c r="A28" s="62" t="s">
        <v>35</v>
      </c>
      <c r="B28" s="62" t="s">
        <v>35</v>
      </c>
      <c r="C28" s="58"/>
      <c r="D28" s="68" t="str">
        <f>IF(E28="","2.8.5 Characteristic 5", CONCATENATE("2.8.5 ", E28))</f>
        <v>2.8.5 Characteristic 5</v>
      </c>
      <c r="E28" s="80"/>
      <c r="F28" s="304"/>
      <c r="G28" s="305"/>
      <c r="H28" s="176"/>
      <c r="I28" s="304"/>
      <c r="J28" s="305"/>
      <c r="K28" s="176"/>
      <c r="L28" s="304"/>
      <c r="M28" s="305"/>
      <c r="N28" s="176"/>
      <c r="O28" s="304"/>
      <c r="P28" s="305"/>
      <c r="Q28" s="176"/>
      <c r="R28" s="304"/>
      <c r="S28" s="305"/>
      <c r="T28" s="176"/>
      <c r="U28" s="304"/>
      <c r="V28" s="305"/>
      <c r="W28" s="176"/>
      <c r="X28" s="304"/>
      <c r="Y28" s="305"/>
      <c r="Z28" s="176"/>
      <c r="AA28" s="304"/>
      <c r="AB28" s="305"/>
      <c r="AC28" s="176"/>
      <c r="AD28" s="304"/>
      <c r="AE28" s="305"/>
      <c r="AF28" s="176"/>
      <c r="AG28" s="304"/>
      <c r="AH28" s="305"/>
      <c r="AI28" s="176"/>
      <c r="AJ28" s="304"/>
      <c r="AK28" s="305"/>
      <c r="AL28" s="176"/>
      <c r="AM28" s="304"/>
      <c r="AN28" s="305"/>
      <c r="AO28" s="176"/>
      <c r="AP28" s="304"/>
      <c r="AQ28" s="305"/>
      <c r="AR28" s="176"/>
      <c r="AS28" s="304"/>
      <c r="AT28" s="305"/>
      <c r="AU28" s="176"/>
      <c r="AV28" s="304"/>
      <c r="AW28" s="305"/>
      <c r="AX28" s="176"/>
      <c r="AY28" s="304"/>
      <c r="AZ28" s="305"/>
      <c r="BA28" s="176"/>
      <c r="BB28" s="304"/>
      <c r="BC28" s="305"/>
      <c r="BD28" s="176"/>
      <c r="BE28" s="304"/>
      <c r="BF28" s="305"/>
      <c r="BG28" s="176"/>
      <c r="BH28" s="304"/>
      <c r="BI28" s="305"/>
      <c r="BJ28" s="176"/>
      <c r="BK28" s="304"/>
      <c r="BL28" s="305"/>
      <c r="BM28" s="176"/>
      <c r="BN28" s="304"/>
      <c r="BO28" s="305"/>
      <c r="BP28" s="176"/>
      <c r="BQ28" s="304"/>
      <c r="BR28" s="305"/>
      <c r="BS28" s="176"/>
      <c r="BT28" s="304"/>
      <c r="BU28" s="305"/>
      <c r="BV28" s="176"/>
      <c r="BW28" s="304"/>
      <c r="BX28" s="305"/>
      <c r="BY28" s="176"/>
      <c r="BZ28" s="304"/>
      <c r="CA28" s="305"/>
      <c r="CB28" s="176"/>
      <c r="CC28" s="304"/>
      <c r="CD28" s="305"/>
      <c r="CE28" s="176"/>
      <c r="CF28" s="304"/>
      <c r="CG28" s="305"/>
      <c r="CH28" s="176"/>
      <c r="CI28" s="304"/>
      <c r="CJ28" s="305"/>
      <c r="CK28" s="176"/>
      <c r="CL28" s="304"/>
      <c r="CM28" s="305"/>
      <c r="CN28" s="176"/>
      <c r="CO28" s="304"/>
      <c r="CP28" s="305"/>
      <c r="CQ28" s="176"/>
    </row>
    <row r="29" spans="1:95" s="1" customFormat="1" ht="18.75" customHeight="1" x14ac:dyDescent="0.25">
      <c r="A29" s="355" t="s">
        <v>119</v>
      </c>
      <c r="B29" s="355"/>
      <c r="C29" s="355"/>
      <c r="D29" s="355"/>
      <c r="E29" s="355"/>
      <c r="F29" s="48">
        <f>IF(SUMMARY!$B$7=TRUE,IF(COUNTBLANK(F30:F36)&gt;0,0,1),"")</f>
        <v>1</v>
      </c>
      <c r="G29" s="50"/>
      <c r="H29" s="50"/>
      <c r="I29" s="50">
        <f>IF(SUMMARY!$B$8=TRUE,IF(COUNTBLANK(I30:I36)&gt;0,0,1),"")</f>
        <v>1</v>
      </c>
      <c r="J29" s="50"/>
      <c r="K29" s="50"/>
      <c r="L29" s="50">
        <f>IF(SUMMARY!$B$9=TRUE,IF(COUNTBLANK(L30:L36)&gt;0,0,1),"")</f>
        <v>1</v>
      </c>
      <c r="M29" s="50"/>
      <c r="N29" s="50"/>
      <c r="O29" s="50">
        <f>IF(SUMMARY!$B$10=TRUE,IF(COUNTBLANK(O30:O36)&gt;0,0,1),"")</f>
        <v>1</v>
      </c>
      <c r="P29" s="50"/>
      <c r="Q29" s="50"/>
      <c r="R29" s="50">
        <f>IF(SUMMARY!$B$11=TRUE,IF(COUNTBLANK(R30:R36)&gt;0,0,1),"")</f>
        <v>1</v>
      </c>
      <c r="S29" s="50"/>
      <c r="T29" s="50"/>
      <c r="U29" s="50">
        <f>IF(SUMMARY!$B$12=TRUE,IF(COUNTBLANK(U30:U36)&gt;0,0,1),"")</f>
        <v>1</v>
      </c>
      <c r="V29" s="50"/>
      <c r="W29" s="50"/>
      <c r="X29" s="50">
        <f>IF(SUMMARY!$B$13=TRUE,IF(COUNTBLANK(X30:X36)&gt;0,0,1),"")</f>
        <v>1</v>
      </c>
      <c r="Y29" s="50"/>
      <c r="Z29" s="50"/>
      <c r="AA29" s="50">
        <f>IF(SUMMARY!$B$14=TRUE,IF(COUNTBLANK(AA30:AA36)&gt;0,0,1),"")</f>
        <v>1</v>
      </c>
      <c r="AB29" s="50"/>
      <c r="AC29" s="50"/>
      <c r="AD29" s="50">
        <f>IF(SUMMARY!$B$15=TRUE,IF(COUNTBLANK(AD30:AD36)&gt;0,0,1),"")</f>
        <v>1</v>
      </c>
      <c r="AE29" s="50"/>
      <c r="AF29" s="50"/>
      <c r="AG29" s="50">
        <f>IF(SUMMARY!$B$16=TRUE,IF(COUNTBLANK(AG30:AG36)&gt;0,0,1),"")</f>
        <v>1</v>
      </c>
      <c r="AH29" s="50"/>
      <c r="AI29" s="50"/>
      <c r="AJ29" s="50">
        <f>IF(SUMMARY!$B$17=TRUE,IF(COUNTBLANK(AJ30:AJ36)&gt;0,0,1),"")</f>
        <v>1</v>
      </c>
      <c r="AK29" s="50"/>
      <c r="AL29" s="50"/>
      <c r="AM29" s="50">
        <f>IF(SUMMARY!$B$18=TRUE,IF(COUNTBLANK(AM30:AM36)&gt;0,0,1),"")</f>
        <v>0</v>
      </c>
      <c r="AN29" s="50"/>
      <c r="AO29" s="50"/>
      <c r="AP29" s="50">
        <f>IF(SUMMARY!$B$19=TRUE,IF(COUNTBLANK(AP30:AP36)&gt;0,0,1),"")</f>
        <v>0</v>
      </c>
      <c r="AQ29" s="50"/>
      <c r="AR29" s="50"/>
      <c r="AS29" s="50">
        <f>IF(SUMMARY!$B$20=TRUE,IF(COUNTBLANK(AS30:AS36)&gt;0,0,1),"")</f>
        <v>0</v>
      </c>
      <c r="AT29" s="50"/>
      <c r="AU29" s="50"/>
      <c r="AV29" s="50">
        <f>IF(SUMMARY!$B$21=TRUE,IF(COUNTBLANK(AV30:AV36)&gt;0,0,1),"")</f>
        <v>0</v>
      </c>
      <c r="AW29" s="50"/>
      <c r="AX29" s="50"/>
      <c r="AY29" s="50">
        <f>IF(SUMMARY!$B$22=TRUE,IF(COUNTBLANK(AY30:AY36)&gt;0,0,1),"")</f>
        <v>0</v>
      </c>
      <c r="AZ29" s="50"/>
      <c r="BA29" s="50"/>
      <c r="BB29" s="50">
        <f>IF(SUMMARY!$B$23=TRUE,IF(COUNTBLANK(BB30:BB36)&gt;0,0,1),"")</f>
        <v>0</v>
      </c>
      <c r="BC29" s="50"/>
      <c r="BD29" s="50"/>
      <c r="BE29" s="50">
        <f>IF(SUMMARY!$B$24=TRUE,IF(COUNTBLANK(BE30:BE36)&gt;0,0,1),"")</f>
        <v>0</v>
      </c>
      <c r="BF29" s="50"/>
      <c r="BG29" s="50"/>
      <c r="BH29" s="50">
        <f>IF(SUMMARY!$B$25=TRUE,IF(COUNTBLANK(BH30:BH36)&gt;0,0,1),"")</f>
        <v>0</v>
      </c>
      <c r="BI29" s="50"/>
      <c r="BJ29" s="50"/>
      <c r="BK29" s="50">
        <f>IF(SUMMARY!$B$26=TRUE,IF(COUNTBLANK(BK30:BK36)&gt;0,0,1),"")</f>
        <v>0</v>
      </c>
      <c r="BL29" s="50"/>
      <c r="BM29" s="50"/>
      <c r="BN29" s="50">
        <f>IF(SUMMARY!$B$27=TRUE,IF(COUNTBLANK(BN30:BN36)&gt;0,0,1),"")</f>
        <v>0</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35</v>
      </c>
      <c r="C30" s="69" t="s">
        <v>35</v>
      </c>
      <c r="D30" s="349" t="s">
        <v>120</v>
      </c>
      <c r="E30" s="350"/>
      <c r="F30" s="314" t="s">
        <v>121</v>
      </c>
      <c r="G30" s="315"/>
      <c r="H30" s="315"/>
      <c r="I30" s="314" t="s">
        <v>122</v>
      </c>
      <c r="J30" s="315"/>
      <c r="K30" s="315"/>
      <c r="L30" s="314" t="s">
        <v>123</v>
      </c>
      <c r="M30" s="315"/>
      <c r="N30" s="315"/>
      <c r="O30" s="314" t="s">
        <v>121</v>
      </c>
      <c r="P30" s="315"/>
      <c r="Q30" s="315"/>
      <c r="R30" s="314" t="s">
        <v>123</v>
      </c>
      <c r="S30" s="315"/>
      <c r="T30" s="315"/>
      <c r="U30" s="314" t="s">
        <v>123</v>
      </c>
      <c r="V30" s="315"/>
      <c r="W30" s="315"/>
      <c r="X30" s="314" t="s">
        <v>124</v>
      </c>
      <c r="Y30" s="315"/>
      <c r="Z30" s="315"/>
      <c r="AA30" s="314" t="s">
        <v>123</v>
      </c>
      <c r="AB30" s="315"/>
      <c r="AC30" s="315"/>
      <c r="AD30" s="314" t="s">
        <v>123</v>
      </c>
      <c r="AE30" s="315"/>
      <c r="AF30" s="315"/>
      <c r="AG30" s="314" t="s">
        <v>124</v>
      </c>
      <c r="AH30" s="315"/>
      <c r="AI30" s="315"/>
      <c r="AJ30" s="314" t="s">
        <v>124</v>
      </c>
      <c r="AK30" s="315"/>
      <c r="AL30" s="315"/>
      <c r="AM30" s="314"/>
      <c r="AN30" s="315"/>
      <c r="AO30" s="315"/>
      <c r="AP30" s="314"/>
      <c r="AQ30" s="315"/>
      <c r="AR30" s="315"/>
      <c r="AS30" s="314"/>
      <c r="AT30" s="315"/>
      <c r="AU30" s="315"/>
      <c r="AV30" s="314"/>
      <c r="AW30" s="315"/>
      <c r="AX30" s="315"/>
      <c r="AY30" s="314"/>
      <c r="AZ30" s="315"/>
      <c r="BA30" s="315"/>
      <c r="BB30" s="314"/>
      <c r="BC30" s="315"/>
      <c r="BD30" s="315"/>
      <c r="BE30" s="314"/>
      <c r="BF30" s="315"/>
      <c r="BG30" s="315"/>
      <c r="BH30" s="314"/>
      <c r="BI30" s="315"/>
      <c r="BJ30" s="315"/>
      <c r="BK30" s="314"/>
      <c r="BL30" s="315"/>
      <c r="BM30" s="315"/>
      <c r="BN30" s="314"/>
      <c r="BO30" s="315"/>
      <c r="BP30" s="315"/>
      <c r="BQ30" s="314"/>
      <c r="BR30" s="315"/>
      <c r="BS30" s="315"/>
      <c r="BT30" s="314"/>
      <c r="BU30" s="315"/>
      <c r="BV30" s="315"/>
      <c r="BW30" s="314"/>
      <c r="BX30" s="315"/>
      <c r="BY30" s="315"/>
      <c r="BZ30" s="314"/>
      <c r="CA30" s="315"/>
      <c r="CB30" s="315"/>
      <c r="CC30" s="314"/>
      <c r="CD30" s="315"/>
      <c r="CE30" s="315"/>
      <c r="CF30" s="314"/>
      <c r="CG30" s="315"/>
      <c r="CH30" s="315"/>
      <c r="CI30" s="314"/>
      <c r="CJ30" s="315"/>
      <c r="CK30" s="343"/>
      <c r="CL30" s="314"/>
      <c r="CM30" s="315"/>
      <c r="CN30" s="315"/>
      <c r="CO30" s="314"/>
      <c r="CP30" s="315"/>
      <c r="CQ30" s="315"/>
    </row>
    <row r="31" spans="1:95" s="13" customFormat="1" ht="30" customHeight="1" x14ac:dyDescent="0.25">
      <c r="A31" s="69"/>
      <c r="B31" s="69" t="s">
        <v>35</v>
      </c>
      <c r="C31" s="69" t="s">
        <v>35</v>
      </c>
      <c r="D31" s="347" t="s">
        <v>125</v>
      </c>
      <c r="E31" s="348"/>
      <c r="F31" s="308" t="s">
        <v>126</v>
      </c>
      <c r="G31" s="309"/>
      <c r="H31" s="309"/>
      <c r="I31" s="308" t="s">
        <v>127</v>
      </c>
      <c r="J31" s="309"/>
      <c r="K31" s="309"/>
      <c r="L31" s="308" t="s">
        <v>128</v>
      </c>
      <c r="M31" s="309"/>
      <c r="N31" s="309"/>
      <c r="O31" s="308" t="s">
        <v>129</v>
      </c>
      <c r="P31" s="309"/>
      <c r="Q31" s="309"/>
      <c r="R31" s="308" t="s">
        <v>130</v>
      </c>
      <c r="S31" s="309"/>
      <c r="T31" s="309"/>
      <c r="U31" s="308" t="s">
        <v>130</v>
      </c>
      <c r="V31" s="309"/>
      <c r="W31" s="309"/>
      <c r="X31" s="308" t="s">
        <v>131</v>
      </c>
      <c r="Y31" s="309"/>
      <c r="Z31" s="309"/>
      <c r="AA31" s="308" t="s">
        <v>132</v>
      </c>
      <c r="AB31" s="309"/>
      <c r="AC31" s="309"/>
      <c r="AD31" s="308" t="s">
        <v>133</v>
      </c>
      <c r="AE31" s="309"/>
      <c r="AF31" s="309"/>
      <c r="AG31" s="308" t="s">
        <v>134</v>
      </c>
      <c r="AH31" s="309"/>
      <c r="AI31" s="309"/>
      <c r="AJ31" s="308" t="s">
        <v>134</v>
      </c>
      <c r="AK31" s="309"/>
      <c r="AL31" s="309"/>
      <c r="AM31" s="308"/>
      <c r="AN31" s="309"/>
      <c r="AO31" s="309"/>
      <c r="AP31" s="308"/>
      <c r="AQ31" s="309"/>
      <c r="AR31" s="309"/>
      <c r="AS31" s="308"/>
      <c r="AT31" s="309"/>
      <c r="AU31" s="309"/>
      <c r="AV31" s="308"/>
      <c r="AW31" s="309"/>
      <c r="AX31" s="309"/>
      <c r="AY31" s="308"/>
      <c r="AZ31" s="309"/>
      <c r="BA31" s="309"/>
      <c r="BB31" s="308"/>
      <c r="BC31" s="309"/>
      <c r="BD31" s="309"/>
      <c r="BE31" s="308"/>
      <c r="BF31" s="309"/>
      <c r="BG31" s="309"/>
      <c r="BH31" s="308"/>
      <c r="BI31" s="309"/>
      <c r="BJ31" s="309"/>
      <c r="BK31" s="308"/>
      <c r="BL31" s="309"/>
      <c r="BM31" s="309"/>
      <c r="BN31" s="308"/>
      <c r="BO31" s="309"/>
      <c r="BP31" s="309"/>
      <c r="BQ31" s="308"/>
      <c r="BR31" s="309"/>
      <c r="BS31" s="309"/>
      <c r="BT31" s="308"/>
      <c r="BU31" s="309"/>
      <c r="BV31" s="309"/>
      <c r="BW31" s="308"/>
      <c r="BX31" s="309"/>
      <c r="BY31" s="309"/>
      <c r="BZ31" s="308"/>
      <c r="CA31" s="309"/>
      <c r="CB31" s="309"/>
      <c r="CC31" s="308"/>
      <c r="CD31" s="309"/>
      <c r="CE31" s="309"/>
      <c r="CF31" s="308"/>
      <c r="CG31" s="309"/>
      <c r="CH31" s="309"/>
      <c r="CI31" s="308"/>
      <c r="CJ31" s="309"/>
      <c r="CK31" s="309"/>
      <c r="CL31" s="308"/>
      <c r="CM31" s="309"/>
      <c r="CN31" s="309"/>
      <c r="CO31" s="308"/>
      <c r="CP31" s="309"/>
      <c r="CQ31" s="309"/>
    </row>
    <row r="32" spans="1:95" s="13" customFormat="1" ht="15" customHeight="1" x14ac:dyDescent="0.25">
      <c r="A32" s="62"/>
      <c r="B32" s="62"/>
      <c r="C32" s="62" t="s">
        <v>35</v>
      </c>
      <c r="D32" s="347" t="s">
        <v>135</v>
      </c>
      <c r="E32" s="348"/>
      <c r="F32" s="308" t="s">
        <v>136</v>
      </c>
      <c r="G32" s="309"/>
      <c r="H32" s="309"/>
      <c r="I32" s="308" t="s">
        <v>136</v>
      </c>
      <c r="J32" s="309"/>
      <c r="K32" s="309"/>
      <c r="L32" s="308" t="s">
        <v>136</v>
      </c>
      <c r="M32" s="309"/>
      <c r="N32" s="309"/>
      <c r="O32" s="308" t="s">
        <v>136</v>
      </c>
      <c r="P32" s="309"/>
      <c r="Q32" s="309"/>
      <c r="R32" s="308" t="s">
        <v>136</v>
      </c>
      <c r="S32" s="309"/>
      <c r="T32" s="309"/>
      <c r="U32" s="308" t="s">
        <v>136</v>
      </c>
      <c r="V32" s="309"/>
      <c r="W32" s="309"/>
      <c r="X32" s="308" t="s">
        <v>136</v>
      </c>
      <c r="Y32" s="309"/>
      <c r="Z32" s="309"/>
      <c r="AA32" s="308" t="s">
        <v>136</v>
      </c>
      <c r="AB32" s="309"/>
      <c r="AC32" s="309"/>
      <c r="AD32" s="308" t="s">
        <v>136</v>
      </c>
      <c r="AE32" s="309"/>
      <c r="AF32" s="309"/>
      <c r="AG32" s="308" t="s">
        <v>136</v>
      </c>
      <c r="AH32" s="309"/>
      <c r="AI32" s="309"/>
      <c r="AJ32" s="308" t="s">
        <v>136</v>
      </c>
      <c r="AK32" s="309"/>
      <c r="AL32" s="309"/>
      <c r="AM32" s="308"/>
      <c r="AN32" s="309"/>
      <c r="AO32" s="309"/>
      <c r="AP32" s="308"/>
      <c r="AQ32" s="309"/>
      <c r="AR32" s="309"/>
      <c r="AS32" s="308"/>
      <c r="AT32" s="309"/>
      <c r="AU32" s="309"/>
      <c r="AV32" s="308"/>
      <c r="AW32" s="309"/>
      <c r="AX32" s="309"/>
      <c r="AY32" s="308"/>
      <c r="AZ32" s="309"/>
      <c r="BA32" s="309"/>
      <c r="BB32" s="308"/>
      <c r="BC32" s="309"/>
      <c r="BD32" s="309"/>
      <c r="BE32" s="308"/>
      <c r="BF32" s="309"/>
      <c r="BG32" s="309"/>
      <c r="BH32" s="308"/>
      <c r="BI32" s="309"/>
      <c r="BJ32" s="309"/>
      <c r="BK32" s="308"/>
      <c r="BL32" s="309"/>
      <c r="BM32" s="309"/>
      <c r="BN32" s="308"/>
      <c r="BO32" s="309"/>
      <c r="BP32" s="309"/>
      <c r="BQ32" s="308"/>
      <c r="BR32" s="309"/>
      <c r="BS32" s="309"/>
      <c r="BT32" s="308"/>
      <c r="BU32" s="309"/>
      <c r="BV32" s="309"/>
      <c r="BW32" s="308"/>
      <c r="BX32" s="309"/>
      <c r="BY32" s="309"/>
      <c r="BZ32" s="308"/>
      <c r="CA32" s="309"/>
      <c r="CB32" s="309"/>
      <c r="CC32" s="308"/>
      <c r="CD32" s="309"/>
      <c r="CE32" s="309"/>
      <c r="CF32" s="308"/>
      <c r="CG32" s="309"/>
      <c r="CH32" s="309"/>
      <c r="CI32" s="308"/>
      <c r="CJ32" s="309"/>
      <c r="CK32" s="309"/>
      <c r="CL32" s="308"/>
      <c r="CM32" s="309"/>
      <c r="CN32" s="309"/>
      <c r="CO32" s="308"/>
      <c r="CP32" s="309"/>
      <c r="CQ32" s="309"/>
    </row>
    <row r="33" spans="1:95" s="13" customFormat="1" ht="15" customHeight="1" x14ac:dyDescent="0.25">
      <c r="A33" s="63" t="s">
        <v>35</v>
      </c>
      <c r="B33" s="63" t="s">
        <v>35</v>
      </c>
      <c r="C33" s="63"/>
      <c r="D33" s="347" t="s">
        <v>137</v>
      </c>
      <c r="E33" s="348"/>
      <c r="F33" s="308" t="s">
        <v>138</v>
      </c>
      <c r="G33" s="309"/>
      <c r="H33" s="309"/>
      <c r="I33" s="308" t="s">
        <v>138</v>
      </c>
      <c r="J33" s="309"/>
      <c r="K33" s="309"/>
      <c r="L33" s="308" t="s">
        <v>138</v>
      </c>
      <c r="M33" s="309"/>
      <c r="N33" s="309"/>
      <c r="O33" s="308" t="s">
        <v>138</v>
      </c>
      <c r="P33" s="309"/>
      <c r="Q33" s="309"/>
      <c r="R33" s="308" t="s">
        <v>138</v>
      </c>
      <c r="S33" s="309"/>
      <c r="T33" s="309"/>
      <c r="U33" s="308" t="s">
        <v>138</v>
      </c>
      <c r="V33" s="309"/>
      <c r="W33" s="309"/>
      <c r="X33" s="308" t="s">
        <v>138</v>
      </c>
      <c r="Y33" s="309"/>
      <c r="Z33" s="309"/>
      <c r="AA33" s="308" t="s">
        <v>138</v>
      </c>
      <c r="AB33" s="309"/>
      <c r="AC33" s="309"/>
      <c r="AD33" s="308" t="s">
        <v>138</v>
      </c>
      <c r="AE33" s="309"/>
      <c r="AF33" s="309"/>
      <c r="AG33" s="308" t="s">
        <v>138</v>
      </c>
      <c r="AH33" s="309"/>
      <c r="AI33" s="309"/>
      <c r="AJ33" s="308" t="s">
        <v>138</v>
      </c>
      <c r="AK33" s="309"/>
      <c r="AL33" s="309"/>
      <c r="AM33" s="308"/>
      <c r="AN33" s="309"/>
      <c r="AO33" s="309"/>
      <c r="AP33" s="308"/>
      <c r="AQ33" s="309"/>
      <c r="AR33" s="309"/>
      <c r="AS33" s="308"/>
      <c r="AT33" s="309"/>
      <c r="AU33" s="309"/>
      <c r="AV33" s="308"/>
      <c r="AW33" s="309"/>
      <c r="AX33" s="309"/>
      <c r="AY33" s="308"/>
      <c r="AZ33" s="309"/>
      <c r="BA33" s="309"/>
      <c r="BB33" s="308"/>
      <c r="BC33" s="309"/>
      <c r="BD33" s="309"/>
      <c r="BE33" s="308"/>
      <c r="BF33" s="309"/>
      <c r="BG33" s="309"/>
      <c r="BH33" s="308"/>
      <c r="BI33" s="309"/>
      <c r="BJ33" s="309"/>
      <c r="BK33" s="308"/>
      <c r="BL33" s="309"/>
      <c r="BM33" s="309"/>
      <c r="BN33" s="308"/>
      <c r="BO33" s="309"/>
      <c r="BP33" s="309"/>
      <c r="BQ33" s="308"/>
      <c r="BR33" s="309"/>
      <c r="BS33" s="309"/>
      <c r="BT33" s="308"/>
      <c r="BU33" s="309"/>
      <c r="BV33" s="309"/>
      <c r="BW33" s="308"/>
      <c r="BX33" s="309"/>
      <c r="BY33" s="309"/>
      <c r="BZ33" s="308"/>
      <c r="CA33" s="309"/>
      <c r="CB33" s="309"/>
      <c r="CC33" s="308"/>
      <c r="CD33" s="309"/>
      <c r="CE33" s="309"/>
      <c r="CF33" s="308"/>
      <c r="CG33" s="309"/>
      <c r="CH33" s="309"/>
      <c r="CI33" s="308"/>
      <c r="CJ33" s="309"/>
      <c r="CK33" s="309"/>
      <c r="CL33" s="308"/>
      <c r="CM33" s="309"/>
      <c r="CN33" s="309"/>
      <c r="CO33" s="308"/>
      <c r="CP33" s="309"/>
      <c r="CQ33" s="309"/>
    </row>
    <row r="34" spans="1:95" s="13" customFormat="1" ht="15" customHeight="1" x14ac:dyDescent="0.25">
      <c r="A34" s="63"/>
      <c r="B34" s="63"/>
      <c r="C34" s="63" t="s">
        <v>35</v>
      </c>
      <c r="D34" s="353" t="s">
        <v>139</v>
      </c>
      <c r="E34" s="354"/>
      <c r="F34" s="308" t="s">
        <v>74</v>
      </c>
      <c r="G34" s="309"/>
      <c r="H34" s="309"/>
      <c r="I34" s="308" t="s">
        <v>74</v>
      </c>
      <c r="J34" s="309"/>
      <c r="K34" s="309"/>
      <c r="L34" s="308" t="s">
        <v>74</v>
      </c>
      <c r="M34" s="309"/>
      <c r="N34" s="309"/>
      <c r="O34" s="308" t="s">
        <v>74</v>
      </c>
      <c r="P34" s="309"/>
      <c r="Q34" s="309"/>
      <c r="R34" s="308" t="s">
        <v>74</v>
      </c>
      <c r="S34" s="309"/>
      <c r="T34" s="309"/>
      <c r="U34" s="308" t="s">
        <v>74</v>
      </c>
      <c r="V34" s="309"/>
      <c r="W34" s="309"/>
      <c r="X34" s="308" t="s">
        <v>74</v>
      </c>
      <c r="Y34" s="309"/>
      <c r="Z34" s="309"/>
      <c r="AA34" s="308" t="s">
        <v>74</v>
      </c>
      <c r="AB34" s="309"/>
      <c r="AC34" s="309"/>
      <c r="AD34" s="308" t="s">
        <v>74</v>
      </c>
      <c r="AE34" s="309"/>
      <c r="AF34" s="309"/>
      <c r="AG34" s="308" t="s">
        <v>74</v>
      </c>
      <c r="AH34" s="309"/>
      <c r="AI34" s="309"/>
      <c r="AJ34" s="308" t="s">
        <v>74</v>
      </c>
      <c r="AK34" s="309"/>
      <c r="AL34" s="309"/>
      <c r="AM34" s="308"/>
      <c r="AN34" s="309"/>
      <c r="AO34" s="309"/>
      <c r="AP34" s="308"/>
      <c r="AQ34" s="309"/>
      <c r="AR34" s="309"/>
      <c r="AS34" s="308"/>
      <c r="AT34" s="309"/>
      <c r="AU34" s="309"/>
      <c r="AV34" s="308"/>
      <c r="AW34" s="309"/>
      <c r="AX34" s="309"/>
      <c r="AY34" s="308"/>
      <c r="AZ34" s="309"/>
      <c r="BA34" s="309"/>
      <c r="BB34" s="308"/>
      <c r="BC34" s="309"/>
      <c r="BD34" s="309"/>
      <c r="BE34" s="308"/>
      <c r="BF34" s="309"/>
      <c r="BG34" s="309"/>
      <c r="BH34" s="308"/>
      <c r="BI34" s="309"/>
      <c r="BJ34" s="309"/>
      <c r="BK34" s="308"/>
      <c r="BL34" s="309"/>
      <c r="BM34" s="309"/>
      <c r="BN34" s="308"/>
      <c r="BO34" s="309"/>
      <c r="BP34" s="309"/>
      <c r="BQ34" s="308"/>
      <c r="BR34" s="309"/>
      <c r="BS34" s="309"/>
      <c r="BT34" s="308"/>
      <c r="BU34" s="309"/>
      <c r="BV34" s="309"/>
      <c r="BW34" s="308"/>
      <c r="BX34" s="309"/>
      <c r="BY34" s="309"/>
      <c r="BZ34" s="308"/>
      <c r="CA34" s="309"/>
      <c r="CB34" s="309"/>
      <c r="CC34" s="308"/>
      <c r="CD34" s="309"/>
      <c r="CE34" s="309"/>
      <c r="CF34" s="308"/>
      <c r="CG34" s="309"/>
      <c r="CH34" s="309"/>
      <c r="CI34" s="308"/>
      <c r="CJ34" s="309"/>
      <c r="CK34" s="309"/>
      <c r="CL34" s="308"/>
      <c r="CM34" s="309"/>
      <c r="CN34" s="309"/>
      <c r="CO34" s="308"/>
      <c r="CP34" s="309"/>
      <c r="CQ34" s="309"/>
    </row>
    <row r="35" spans="1:95" s="13" customFormat="1" ht="15" customHeight="1" x14ac:dyDescent="0.25">
      <c r="A35" s="63"/>
      <c r="B35" s="63"/>
      <c r="C35" s="63" t="s">
        <v>35</v>
      </c>
      <c r="D35" s="353" t="s">
        <v>140</v>
      </c>
      <c r="E35" s="354"/>
      <c r="F35" s="308" t="s">
        <v>141</v>
      </c>
      <c r="G35" s="309"/>
      <c r="H35" s="309"/>
      <c r="I35" s="308" t="s">
        <v>141</v>
      </c>
      <c r="J35" s="309"/>
      <c r="K35" s="309"/>
      <c r="L35" s="308" t="s">
        <v>141</v>
      </c>
      <c r="M35" s="309"/>
      <c r="N35" s="309"/>
      <c r="O35" s="308" t="s">
        <v>52</v>
      </c>
      <c r="P35" s="309"/>
      <c r="Q35" s="309"/>
      <c r="R35" s="308" t="s">
        <v>141</v>
      </c>
      <c r="S35" s="309"/>
      <c r="T35" s="309"/>
      <c r="U35" s="308" t="s">
        <v>141</v>
      </c>
      <c r="V35" s="309"/>
      <c r="W35" s="309"/>
      <c r="X35" s="308" t="s">
        <v>52</v>
      </c>
      <c r="Y35" s="309"/>
      <c r="Z35" s="309"/>
      <c r="AA35" s="308" t="s">
        <v>141</v>
      </c>
      <c r="AB35" s="309"/>
      <c r="AC35" s="309"/>
      <c r="AD35" s="308" t="s">
        <v>141</v>
      </c>
      <c r="AE35" s="309"/>
      <c r="AF35" s="309"/>
      <c r="AG35" s="308" t="s">
        <v>141</v>
      </c>
      <c r="AH35" s="309"/>
      <c r="AI35" s="309"/>
      <c r="AJ35" s="308" t="s">
        <v>141</v>
      </c>
      <c r="AK35" s="309"/>
      <c r="AL35" s="309"/>
      <c r="AM35" s="308"/>
      <c r="AN35" s="309"/>
      <c r="AO35" s="309"/>
      <c r="AP35" s="308"/>
      <c r="AQ35" s="309"/>
      <c r="AR35" s="309"/>
      <c r="AS35" s="308"/>
      <c r="AT35" s="309"/>
      <c r="AU35" s="309"/>
      <c r="AV35" s="308"/>
      <c r="AW35" s="309"/>
      <c r="AX35" s="309"/>
      <c r="AY35" s="308"/>
      <c r="AZ35" s="309"/>
      <c r="BA35" s="309"/>
      <c r="BB35" s="308"/>
      <c r="BC35" s="309"/>
      <c r="BD35" s="309"/>
      <c r="BE35" s="308"/>
      <c r="BF35" s="309"/>
      <c r="BG35" s="309"/>
      <c r="BH35" s="308"/>
      <c r="BI35" s="309"/>
      <c r="BJ35" s="309"/>
      <c r="BK35" s="308"/>
      <c r="BL35" s="309"/>
      <c r="BM35" s="309"/>
      <c r="BN35" s="308"/>
      <c r="BO35" s="309"/>
      <c r="BP35" s="309"/>
      <c r="BQ35" s="308"/>
      <c r="BR35" s="309"/>
      <c r="BS35" s="309"/>
      <c r="BT35" s="308"/>
      <c r="BU35" s="309"/>
      <c r="BV35" s="309"/>
      <c r="BW35" s="308"/>
      <c r="BX35" s="309"/>
      <c r="BY35" s="309"/>
      <c r="BZ35" s="308"/>
      <c r="CA35" s="309"/>
      <c r="CB35" s="309"/>
      <c r="CC35" s="308"/>
      <c r="CD35" s="309"/>
      <c r="CE35" s="309"/>
      <c r="CF35" s="308"/>
      <c r="CG35" s="309"/>
      <c r="CH35" s="309"/>
      <c r="CI35" s="308"/>
      <c r="CJ35" s="309"/>
      <c r="CK35" s="309"/>
      <c r="CL35" s="308"/>
      <c r="CM35" s="309"/>
      <c r="CN35" s="309"/>
      <c r="CO35" s="308"/>
      <c r="CP35" s="309"/>
      <c r="CQ35" s="309"/>
    </row>
    <row r="36" spans="1:95" s="13" customFormat="1" ht="15" customHeight="1" x14ac:dyDescent="0.25">
      <c r="A36" s="58"/>
      <c r="B36" s="58" t="s">
        <v>35</v>
      </c>
      <c r="C36" s="58"/>
      <c r="D36" s="351" t="s">
        <v>142</v>
      </c>
      <c r="E36" s="352"/>
      <c r="F36" s="310" t="s">
        <v>143</v>
      </c>
      <c r="G36" s="311"/>
      <c r="H36" s="311"/>
      <c r="I36" s="310" t="s">
        <v>143</v>
      </c>
      <c r="J36" s="311"/>
      <c r="K36" s="311"/>
      <c r="L36" s="310" t="s">
        <v>144</v>
      </c>
      <c r="M36" s="311"/>
      <c r="N36" s="311"/>
      <c r="O36" s="310" t="s">
        <v>143</v>
      </c>
      <c r="P36" s="311"/>
      <c r="Q36" s="311"/>
      <c r="R36" s="310" t="s">
        <v>144</v>
      </c>
      <c r="S36" s="311"/>
      <c r="T36" s="311"/>
      <c r="U36" s="310" t="s">
        <v>144</v>
      </c>
      <c r="V36" s="311"/>
      <c r="W36" s="311"/>
      <c r="X36" s="310" t="s">
        <v>145</v>
      </c>
      <c r="Y36" s="311"/>
      <c r="Z36" s="311"/>
      <c r="AA36" s="310" t="s">
        <v>144</v>
      </c>
      <c r="AB36" s="311"/>
      <c r="AC36" s="311"/>
      <c r="AD36" s="310" t="s">
        <v>144</v>
      </c>
      <c r="AE36" s="311"/>
      <c r="AF36" s="311"/>
      <c r="AG36" s="310" t="s">
        <v>145</v>
      </c>
      <c r="AH36" s="311"/>
      <c r="AI36" s="311"/>
      <c r="AJ36" s="310" t="s">
        <v>145</v>
      </c>
      <c r="AK36" s="311"/>
      <c r="AL36" s="311"/>
      <c r="AM36" s="310"/>
      <c r="AN36" s="311"/>
      <c r="AO36" s="311"/>
      <c r="AP36" s="310"/>
      <c r="AQ36" s="311"/>
      <c r="AR36" s="311"/>
      <c r="AS36" s="310"/>
      <c r="AT36" s="311"/>
      <c r="AU36" s="311"/>
      <c r="AV36" s="310"/>
      <c r="AW36" s="311"/>
      <c r="AX36" s="311"/>
      <c r="AY36" s="310"/>
      <c r="AZ36" s="311"/>
      <c r="BA36" s="311"/>
      <c r="BB36" s="310"/>
      <c r="BC36" s="311"/>
      <c r="BD36" s="311"/>
      <c r="BE36" s="310"/>
      <c r="BF36" s="311"/>
      <c r="BG36" s="311"/>
      <c r="BH36" s="310"/>
      <c r="BI36" s="311"/>
      <c r="BJ36" s="311"/>
      <c r="BK36" s="310"/>
      <c r="BL36" s="311"/>
      <c r="BM36" s="311"/>
      <c r="BN36" s="310"/>
      <c r="BO36" s="311"/>
      <c r="BP36" s="311"/>
      <c r="BQ36" s="310"/>
      <c r="BR36" s="311"/>
      <c r="BS36" s="311"/>
      <c r="BT36" s="310"/>
      <c r="BU36" s="311"/>
      <c r="BV36" s="311"/>
      <c r="BW36" s="310"/>
      <c r="BX36" s="311"/>
      <c r="BY36" s="311"/>
      <c r="BZ36" s="310"/>
      <c r="CA36" s="311"/>
      <c r="CB36" s="311"/>
      <c r="CC36" s="310"/>
      <c r="CD36" s="311"/>
      <c r="CE36" s="311"/>
      <c r="CF36" s="310"/>
      <c r="CG36" s="311"/>
      <c r="CH36" s="311"/>
      <c r="CI36" s="310"/>
      <c r="CJ36" s="311"/>
      <c r="CK36" s="311"/>
      <c r="CL36" s="310"/>
      <c r="CM36" s="311"/>
      <c r="CN36" s="311"/>
      <c r="CO36" s="310"/>
      <c r="CP36" s="311"/>
      <c r="CQ36" s="311"/>
    </row>
    <row r="37" spans="1:95" s="1" customFormat="1" ht="18.75" customHeight="1" x14ac:dyDescent="0.25">
      <c r="A37" s="355" t="s">
        <v>146</v>
      </c>
      <c r="B37" s="355"/>
      <c r="C37" s="355"/>
      <c r="D37" s="355"/>
      <c r="E37" s="355"/>
      <c r="F37" s="48">
        <f>IF(SUMMARY!$B$7=TRUE,IF(COUNTBLANK(F38:F43)&gt;0,0,1),"")</f>
        <v>1</v>
      </c>
      <c r="G37" s="49"/>
      <c r="H37" s="49"/>
      <c r="I37" s="50">
        <f>IF(SUMMARY!$B$8=TRUE,IF(COUNTBLANK(I38:I43)&gt;0,0,1),"")</f>
        <v>1</v>
      </c>
      <c r="J37" s="49"/>
      <c r="K37" s="49"/>
      <c r="L37" s="50">
        <f>IF(SUMMARY!$B$9=TRUE,IF(COUNTBLANK(L38:L43)&gt;0,0,1),"")</f>
        <v>1</v>
      </c>
      <c r="M37" s="49"/>
      <c r="N37" s="49"/>
      <c r="O37" s="50">
        <f>IF(SUMMARY!$B$10=TRUE,IF(COUNTBLANK(O38:O43)&gt;0,0,1),"")</f>
        <v>1</v>
      </c>
      <c r="P37" s="49"/>
      <c r="Q37" s="49"/>
      <c r="R37" s="50">
        <f>IF(SUMMARY!$B$11=TRUE,IF(COUNTBLANK(R38:R43)&gt;0,0,1),"")</f>
        <v>1</v>
      </c>
      <c r="S37" s="49"/>
      <c r="T37" s="49"/>
      <c r="U37" s="50">
        <f>IF(SUMMARY!$B$12=TRUE,IF(COUNTBLANK(U38:U43)&gt;0,0,1),"")</f>
        <v>1</v>
      </c>
      <c r="V37" s="49"/>
      <c r="W37" s="49"/>
      <c r="X37" s="50">
        <f>IF(SUMMARY!$B$13=TRUE,IF(COUNTBLANK(X38:X43)&gt;0,0,1),"")</f>
        <v>1</v>
      </c>
      <c r="Y37" s="49"/>
      <c r="Z37" s="49"/>
      <c r="AA37" s="50">
        <f>IF(SUMMARY!$B$14=TRUE,IF(COUNTBLANK(AA38:AA43)&gt;0,0,1),"")</f>
        <v>1</v>
      </c>
      <c r="AB37" s="49"/>
      <c r="AC37" s="49"/>
      <c r="AD37" s="50">
        <f>IF(SUMMARY!$B$15=TRUE,IF(COUNTBLANK(AD38:AD43)&gt;0,0,1),"")</f>
        <v>1</v>
      </c>
      <c r="AE37" s="49"/>
      <c r="AF37" s="49"/>
      <c r="AG37" s="50">
        <f>IF(SUMMARY!$B$16=TRUE,IF(COUNTBLANK(AG38:AG43)&gt;0,0,1),"")</f>
        <v>1</v>
      </c>
      <c r="AH37" s="49"/>
      <c r="AI37" s="49"/>
      <c r="AJ37" s="50">
        <f>IF(SUMMARY!$B$17=TRUE,IF(COUNTBLANK(AJ38:AJ43)&gt;0,0,1),"")</f>
        <v>1</v>
      </c>
      <c r="AK37" s="49"/>
      <c r="AL37" s="49"/>
      <c r="AM37" s="50">
        <f>IF(SUMMARY!$B$18=TRUE,IF(COUNTBLANK(AM38:AM43)&gt;0,0,1),"")</f>
        <v>0</v>
      </c>
      <c r="AN37" s="49"/>
      <c r="AO37" s="49"/>
      <c r="AP37" s="50">
        <f>IF(SUMMARY!$B$19=TRUE,IF(COUNTBLANK(AP38:AP43)&gt;0,0,1),"")</f>
        <v>0</v>
      </c>
      <c r="AQ37" s="49"/>
      <c r="AR37" s="49"/>
      <c r="AS37" s="50">
        <f>IF(SUMMARY!$B$20=TRUE,IF(COUNTBLANK(AS38:AS43)&gt;0,0,1),"")</f>
        <v>0</v>
      </c>
      <c r="AT37" s="49"/>
      <c r="AU37" s="49"/>
      <c r="AV37" s="50">
        <f>IF(SUMMARY!$B$21=TRUE,IF(COUNTBLANK(AV38:AV43)&gt;0,0,1),"")</f>
        <v>0</v>
      </c>
      <c r="AW37" s="49"/>
      <c r="AX37" s="49"/>
      <c r="AY37" s="50">
        <f>IF(SUMMARY!$B$22=TRUE,IF(COUNTBLANK(AY38:AY43)&gt;0,0,1),"")</f>
        <v>0</v>
      </c>
      <c r="AZ37" s="49"/>
      <c r="BA37" s="49"/>
      <c r="BB37" s="50">
        <f>IF(SUMMARY!$B$23=TRUE,IF(COUNTBLANK(BB38:BB43)&gt;0,0,1),"")</f>
        <v>0</v>
      </c>
      <c r="BC37" s="49"/>
      <c r="BD37" s="49"/>
      <c r="BE37" s="50">
        <f>IF(SUMMARY!$B$24=TRUE,IF(COUNTBLANK(BE38:BE43)&gt;0,0,1),"")</f>
        <v>0</v>
      </c>
      <c r="BF37" s="49"/>
      <c r="BG37" s="49"/>
      <c r="BH37" s="50">
        <f>IF(SUMMARY!$B$25=TRUE,IF(COUNTBLANK(BH38:BH43)&gt;0,0,1),"")</f>
        <v>0</v>
      </c>
      <c r="BI37" s="49"/>
      <c r="BJ37" s="49"/>
      <c r="BK37" s="50">
        <f>IF(SUMMARY!$B$26=TRUE,IF(COUNTBLANK(BK38:BK43)&gt;0,0,1),"")</f>
        <v>0</v>
      </c>
      <c r="BL37" s="49"/>
      <c r="BM37" s="49"/>
      <c r="BN37" s="50">
        <f>IF(SUMMARY!$B$27=TRUE,IF(COUNTBLANK(BN38:BN43)&gt;0,0,1),"")</f>
        <v>0</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35</v>
      </c>
      <c r="B38" s="69"/>
      <c r="C38" s="69"/>
      <c r="D38" s="349" t="s">
        <v>147</v>
      </c>
      <c r="E38" s="350"/>
      <c r="F38" s="314">
        <v>38</v>
      </c>
      <c r="G38" s="315"/>
      <c r="H38" s="315"/>
      <c r="I38" s="314">
        <v>19</v>
      </c>
      <c r="J38" s="315"/>
      <c r="K38" s="315"/>
      <c r="L38" s="314">
        <v>0</v>
      </c>
      <c r="M38" s="315"/>
      <c r="N38" s="315"/>
      <c r="O38" s="314">
        <v>15</v>
      </c>
      <c r="P38" s="315"/>
      <c r="Q38" s="315"/>
      <c r="R38" s="314">
        <v>57</v>
      </c>
      <c r="S38" s="315"/>
      <c r="T38" s="315"/>
      <c r="U38" s="314">
        <v>57</v>
      </c>
      <c r="V38" s="315"/>
      <c r="W38" s="315"/>
      <c r="X38" s="314">
        <v>32</v>
      </c>
      <c r="Y38" s="315"/>
      <c r="Z38" s="315"/>
      <c r="AA38" s="314">
        <v>56</v>
      </c>
      <c r="AB38" s="315"/>
      <c r="AC38" s="315"/>
      <c r="AD38" s="314">
        <v>37</v>
      </c>
      <c r="AE38" s="315"/>
      <c r="AF38" s="315"/>
      <c r="AG38" s="314">
        <v>26</v>
      </c>
      <c r="AH38" s="315"/>
      <c r="AI38" s="315"/>
      <c r="AJ38" s="314">
        <v>27</v>
      </c>
      <c r="AK38" s="315"/>
      <c r="AL38" s="315"/>
      <c r="AM38" s="314"/>
      <c r="AN38" s="315"/>
      <c r="AO38" s="315"/>
      <c r="AP38" s="314"/>
      <c r="AQ38" s="315"/>
      <c r="AR38" s="315"/>
      <c r="AS38" s="314"/>
      <c r="AT38" s="315"/>
      <c r="AU38" s="315"/>
      <c r="AV38" s="314"/>
      <c r="AW38" s="315"/>
      <c r="AX38" s="315"/>
      <c r="AY38" s="314"/>
      <c r="AZ38" s="315"/>
      <c r="BA38" s="315"/>
      <c r="BB38" s="314"/>
      <c r="BC38" s="315"/>
      <c r="BD38" s="315"/>
      <c r="BE38" s="314"/>
      <c r="BF38" s="315"/>
      <c r="BG38" s="315"/>
      <c r="BH38" s="314"/>
      <c r="BI38" s="315"/>
      <c r="BJ38" s="315"/>
      <c r="BK38" s="314"/>
      <c r="BL38" s="315"/>
      <c r="BM38" s="315"/>
      <c r="BN38" s="314"/>
      <c r="BO38" s="315"/>
      <c r="BP38" s="315"/>
      <c r="BQ38" s="314"/>
      <c r="BR38" s="315"/>
      <c r="BS38" s="315"/>
      <c r="BT38" s="314"/>
      <c r="BU38" s="315"/>
      <c r="BV38" s="315"/>
      <c r="BW38" s="314"/>
      <c r="BX38" s="315"/>
      <c r="BY38" s="315"/>
      <c r="BZ38" s="314"/>
      <c r="CA38" s="315"/>
      <c r="CB38" s="315"/>
      <c r="CC38" s="314"/>
      <c r="CD38" s="315"/>
      <c r="CE38" s="315"/>
      <c r="CF38" s="314"/>
      <c r="CG38" s="315"/>
      <c r="CH38" s="315"/>
      <c r="CI38" s="314"/>
      <c r="CJ38" s="315"/>
      <c r="CK38" s="315"/>
      <c r="CL38" s="314"/>
      <c r="CM38" s="315"/>
      <c r="CN38" s="315"/>
      <c r="CO38" s="314"/>
      <c r="CP38" s="315"/>
      <c r="CQ38" s="315"/>
    </row>
    <row r="39" spans="1:95" s="13" customFormat="1" ht="15" customHeight="1" x14ac:dyDescent="0.25">
      <c r="A39" s="62" t="s">
        <v>35</v>
      </c>
      <c r="B39" s="62"/>
      <c r="C39" s="62"/>
      <c r="D39" s="347" t="s">
        <v>148</v>
      </c>
      <c r="E39" s="348"/>
      <c r="F39" s="308" t="s">
        <v>149</v>
      </c>
      <c r="G39" s="309"/>
      <c r="H39" s="309"/>
      <c r="I39" s="308" t="s">
        <v>149</v>
      </c>
      <c r="J39" s="309"/>
      <c r="K39" s="309"/>
      <c r="L39" s="308" t="s">
        <v>149</v>
      </c>
      <c r="M39" s="309"/>
      <c r="N39" s="309"/>
      <c r="O39" s="308" t="s">
        <v>150</v>
      </c>
      <c r="P39" s="309"/>
      <c r="Q39" s="309"/>
      <c r="R39" s="308" t="s">
        <v>151</v>
      </c>
      <c r="S39" s="309"/>
      <c r="T39" s="309"/>
      <c r="U39" s="308" t="s">
        <v>151</v>
      </c>
      <c r="V39" s="309"/>
      <c r="W39" s="309"/>
      <c r="X39" s="308" t="s">
        <v>149</v>
      </c>
      <c r="Y39" s="309"/>
      <c r="Z39" s="309"/>
      <c r="AA39" s="308" t="s">
        <v>152</v>
      </c>
      <c r="AB39" s="309"/>
      <c r="AC39" s="309"/>
      <c r="AD39" s="308" t="s">
        <v>149</v>
      </c>
      <c r="AE39" s="309"/>
      <c r="AF39" s="309"/>
      <c r="AG39" s="308" t="s">
        <v>149</v>
      </c>
      <c r="AH39" s="309"/>
      <c r="AI39" s="309"/>
      <c r="AJ39" s="308" t="s">
        <v>149</v>
      </c>
      <c r="AK39" s="309"/>
      <c r="AL39" s="309"/>
      <c r="AM39" s="308"/>
      <c r="AN39" s="309"/>
      <c r="AO39" s="309"/>
      <c r="AP39" s="308"/>
      <c r="AQ39" s="309"/>
      <c r="AR39" s="309"/>
      <c r="AS39" s="308"/>
      <c r="AT39" s="309"/>
      <c r="AU39" s="309"/>
      <c r="AV39" s="308"/>
      <c r="AW39" s="309"/>
      <c r="AX39" s="309"/>
      <c r="AY39" s="308"/>
      <c r="AZ39" s="309"/>
      <c r="BA39" s="309"/>
      <c r="BB39" s="308"/>
      <c r="BC39" s="309"/>
      <c r="BD39" s="309"/>
      <c r="BE39" s="308"/>
      <c r="BF39" s="309"/>
      <c r="BG39" s="309"/>
      <c r="BH39" s="308"/>
      <c r="BI39" s="309"/>
      <c r="BJ39" s="309"/>
      <c r="BK39" s="308"/>
      <c r="BL39" s="309"/>
      <c r="BM39" s="309"/>
      <c r="BN39" s="308"/>
      <c r="BO39" s="309"/>
      <c r="BP39" s="309"/>
      <c r="BQ39" s="308"/>
      <c r="BR39" s="309"/>
      <c r="BS39" s="309"/>
      <c r="BT39" s="308"/>
      <c r="BU39" s="309"/>
      <c r="BV39" s="309"/>
      <c r="BW39" s="308"/>
      <c r="BX39" s="309"/>
      <c r="BY39" s="309"/>
      <c r="BZ39" s="308"/>
      <c r="CA39" s="309"/>
      <c r="CB39" s="309"/>
      <c r="CC39" s="308"/>
      <c r="CD39" s="309"/>
      <c r="CE39" s="309"/>
      <c r="CF39" s="308"/>
      <c r="CG39" s="309"/>
      <c r="CH39" s="309"/>
      <c r="CI39" s="308"/>
      <c r="CJ39" s="309"/>
      <c r="CK39" s="309"/>
      <c r="CL39" s="308"/>
      <c r="CM39" s="309"/>
      <c r="CN39" s="309"/>
      <c r="CO39" s="308"/>
      <c r="CP39" s="309"/>
      <c r="CQ39" s="309"/>
    </row>
    <row r="40" spans="1:95" s="13" customFormat="1" ht="15" customHeight="1" x14ac:dyDescent="0.25">
      <c r="A40" s="62"/>
      <c r="B40" s="62" t="s">
        <v>35</v>
      </c>
      <c r="C40" s="62"/>
      <c r="D40" s="347" t="s">
        <v>153</v>
      </c>
      <c r="E40" s="348"/>
      <c r="F40" s="308" t="s">
        <v>154</v>
      </c>
      <c r="G40" s="309"/>
      <c r="H40" s="309"/>
      <c r="I40" s="308" t="s">
        <v>155</v>
      </c>
      <c r="J40" s="309"/>
      <c r="K40" s="309"/>
      <c r="L40" s="308" t="s">
        <v>154</v>
      </c>
      <c r="M40" s="309"/>
      <c r="N40" s="309"/>
      <c r="O40" s="308" t="s">
        <v>154</v>
      </c>
      <c r="P40" s="309"/>
      <c r="Q40" s="309"/>
      <c r="R40" s="308" t="s">
        <v>154</v>
      </c>
      <c r="S40" s="309"/>
      <c r="T40" s="309"/>
      <c r="U40" s="308" t="s">
        <v>154</v>
      </c>
      <c r="V40" s="309"/>
      <c r="W40" s="309"/>
      <c r="X40" s="308" t="s">
        <v>154</v>
      </c>
      <c r="Y40" s="309"/>
      <c r="Z40" s="309"/>
      <c r="AA40" s="308" t="s">
        <v>154</v>
      </c>
      <c r="AB40" s="309"/>
      <c r="AC40" s="309"/>
      <c r="AD40" s="308" t="s">
        <v>154</v>
      </c>
      <c r="AE40" s="309"/>
      <c r="AF40" s="309"/>
      <c r="AG40" s="308" t="s">
        <v>154</v>
      </c>
      <c r="AH40" s="309"/>
      <c r="AI40" s="309"/>
      <c r="AJ40" s="308" t="s">
        <v>154</v>
      </c>
      <c r="AK40" s="309"/>
      <c r="AL40" s="309"/>
      <c r="AM40" s="308"/>
      <c r="AN40" s="309"/>
      <c r="AO40" s="309"/>
      <c r="AP40" s="308"/>
      <c r="AQ40" s="309"/>
      <c r="AR40" s="309"/>
      <c r="AS40" s="308"/>
      <c r="AT40" s="309"/>
      <c r="AU40" s="309"/>
      <c r="AV40" s="308"/>
      <c r="AW40" s="309"/>
      <c r="AX40" s="309"/>
      <c r="AY40" s="308"/>
      <c r="AZ40" s="309"/>
      <c r="BA40" s="309"/>
      <c r="BB40" s="308"/>
      <c r="BC40" s="309"/>
      <c r="BD40" s="309"/>
      <c r="BE40" s="308"/>
      <c r="BF40" s="309"/>
      <c r="BG40" s="309"/>
      <c r="BH40" s="308"/>
      <c r="BI40" s="309"/>
      <c r="BJ40" s="309"/>
      <c r="BK40" s="308"/>
      <c r="BL40" s="309"/>
      <c r="BM40" s="309"/>
      <c r="BN40" s="308"/>
      <c r="BO40" s="309"/>
      <c r="BP40" s="309"/>
      <c r="BQ40" s="308"/>
      <c r="BR40" s="309"/>
      <c r="BS40" s="309"/>
      <c r="BT40" s="308"/>
      <c r="BU40" s="309"/>
      <c r="BV40" s="309"/>
      <c r="BW40" s="308"/>
      <c r="BX40" s="309"/>
      <c r="BY40" s="309"/>
      <c r="BZ40" s="308"/>
      <c r="CA40" s="309"/>
      <c r="CB40" s="309"/>
      <c r="CC40" s="308"/>
      <c r="CD40" s="309"/>
      <c r="CE40" s="309"/>
      <c r="CF40" s="308"/>
      <c r="CG40" s="309"/>
      <c r="CH40" s="309"/>
      <c r="CI40" s="308"/>
      <c r="CJ40" s="309"/>
      <c r="CK40" s="309"/>
      <c r="CL40" s="308"/>
      <c r="CM40" s="309"/>
      <c r="CN40" s="309"/>
      <c r="CO40" s="308"/>
      <c r="CP40" s="309"/>
      <c r="CQ40" s="309"/>
    </row>
    <row r="41" spans="1:95" s="13" customFormat="1" ht="15" customHeight="1" x14ac:dyDescent="0.25">
      <c r="A41" s="62"/>
      <c r="B41" s="62"/>
      <c r="C41" s="62" t="s">
        <v>35</v>
      </c>
      <c r="D41" s="347" t="s">
        <v>156</v>
      </c>
      <c r="E41" s="348"/>
      <c r="F41" s="308" t="s">
        <v>136</v>
      </c>
      <c r="G41" s="309"/>
      <c r="H41" s="309"/>
      <c r="I41" s="308" t="s">
        <v>136</v>
      </c>
      <c r="J41" s="309"/>
      <c r="K41" s="309"/>
      <c r="L41" s="308" t="s">
        <v>136</v>
      </c>
      <c r="M41" s="309"/>
      <c r="N41" s="309"/>
      <c r="O41" s="308" t="s">
        <v>136</v>
      </c>
      <c r="P41" s="309"/>
      <c r="Q41" s="309"/>
      <c r="R41" s="308" t="s">
        <v>74</v>
      </c>
      <c r="S41" s="309"/>
      <c r="T41" s="309"/>
      <c r="U41" s="308" t="s">
        <v>74</v>
      </c>
      <c r="V41" s="309"/>
      <c r="W41" s="309"/>
      <c r="X41" s="308" t="s">
        <v>136</v>
      </c>
      <c r="Y41" s="309"/>
      <c r="Z41" s="309"/>
      <c r="AA41" s="308" t="s">
        <v>136</v>
      </c>
      <c r="AB41" s="309"/>
      <c r="AC41" s="309"/>
      <c r="AD41" s="308" t="s">
        <v>136</v>
      </c>
      <c r="AE41" s="309"/>
      <c r="AF41" s="309"/>
      <c r="AG41" s="308" t="s">
        <v>141</v>
      </c>
      <c r="AH41" s="309"/>
      <c r="AI41" s="309"/>
      <c r="AJ41" s="308" t="s">
        <v>141</v>
      </c>
      <c r="AK41" s="309"/>
      <c r="AL41" s="309"/>
      <c r="AM41" s="308"/>
      <c r="AN41" s="309"/>
      <c r="AO41" s="309"/>
      <c r="AP41" s="308"/>
      <c r="AQ41" s="309"/>
      <c r="AR41" s="309"/>
      <c r="AS41" s="308"/>
      <c r="AT41" s="309"/>
      <c r="AU41" s="309"/>
      <c r="AV41" s="308"/>
      <c r="AW41" s="309"/>
      <c r="AX41" s="309"/>
      <c r="AY41" s="308"/>
      <c r="AZ41" s="309"/>
      <c r="BA41" s="309"/>
      <c r="BB41" s="308"/>
      <c r="BC41" s="309"/>
      <c r="BD41" s="309"/>
      <c r="BE41" s="308"/>
      <c r="BF41" s="309"/>
      <c r="BG41" s="309"/>
      <c r="BH41" s="308"/>
      <c r="BI41" s="309"/>
      <c r="BJ41" s="309"/>
      <c r="BK41" s="308"/>
      <c r="BL41" s="309"/>
      <c r="BM41" s="309"/>
      <c r="BN41" s="308"/>
      <c r="BO41" s="309"/>
      <c r="BP41" s="309"/>
      <c r="BQ41" s="308"/>
      <c r="BR41" s="309"/>
      <c r="BS41" s="309"/>
      <c r="BT41" s="308"/>
      <c r="BU41" s="309"/>
      <c r="BV41" s="309"/>
      <c r="BW41" s="308"/>
      <c r="BX41" s="309"/>
      <c r="BY41" s="309"/>
      <c r="BZ41" s="308"/>
      <c r="CA41" s="309"/>
      <c r="CB41" s="309"/>
      <c r="CC41" s="308"/>
      <c r="CD41" s="309"/>
      <c r="CE41" s="309"/>
      <c r="CF41" s="308"/>
      <c r="CG41" s="309"/>
      <c r="CH41" s="309"/>
      <c r="CI41" s="308"/>
      <c r="CJ41" s="309"/>
      <c r="CK41" s="309"/>
      <c r="CL41" s="308"/>
      <c r="CM41" s="309"/>
      <c r="CN41" s="309"/>
      <c r="CO41" s="308"/>
      <c r="CP41" s="309"/>
      <c r="CQ41" s="309"/>
    </row>
    <row r="42" spans="1:95" s="13" customFormat="1" ht="15" customHeight="1" x14ac:dyDescent="0.25">
      <c r="A42" s="62"/>
      <c r="B42" s="62"/>
      <c r="C42" s="62" t="s">
        <v>35</v>
      </c>
      <c r="D42" s="347" t="s">
        <v>157</v>
      </c>
      <c r="E42" s="348"/>
      <c r="F42" s="308" t="s">
        <v>52</v>
      </c>
      <c r="G42" s="309"/>
      <c r="H42" s="309"/>
      <c r="I42" s="308" t="s">
        <v>52</v>
      </c>
      <c r="J42" s="309"/>
      <c r="K42" s="309"/>
      <c r="L42" s="308" t="s">
        <v>52</v>
      </c>
      <c r="M42" s="309"/>
      <c r="N42" s="309"/>
      <c r="O42" s="308" t="s">
        <v>52</v>
      </c>
      <c r="P42" s="309"/>
      <c r="Q42" s="309"/>
      <c r="R42" s="308" t="s">
        <v>52</v>
      </c>
      <c r="S42" s="309"/>
      <c r="T42" s="309"/>
      <c r="U42" s="308" t="s">
        <v>52</v>
      </c>
      <c r="V42" s="309"/>
      <c r="W42" s="309"/>
      <c r="X42" s="308" t="s">
        <v>52</v>
      </c>
      <c r="Y42" s="309"/>
      <c r="Z42" s="309"/>
      <c r="AA42" s="308" t="s">
        <v>52</v>
      </c>
      <c r="AB42" s="309"/>
      <c r="AC42" s="309"/>
      <c r="AD42" s="308" t="s">
        <v>52</v>
      </c>
      <c r="AE42" s="309"/>
      <c r="AF42" s="309"/>
      <c r="AG42" s="308" t="s">
        <v>52</v>
      </c>
      <c r="AH42" s="309"/>
      <c r="AI42" s="309"/>
      <c r="AJ42" s="308" t="s">
        <v>52</v>
      </c>
      <c r="AK42" s="309"/>
      <c r="AL42" s="309"/>
      <c r="AM42" s="308"/>
      <c r="AN42" s="309"/>
      <c r="AO42" s="309"/>
      <c r="AP42" s="308"/>
      <c r="AQ42" s="309"/>
      <c r="AR42" s="309"/>
      <c r="AS42" s="308"/>
      <c r="AT42" s="309"/>
      <c r="AU42" s="309"/>
      <c r="AV42" s="308"/>
      <c r="AW42" s="309"/>
      <c r="AX42" s="309"/>
      <c r="AY42" s="308"/>
      <c r="AZ42" s="309"/>
      <c r="BA42" s="309"/>
      <c r="BB42" s="308"/>
      <c r="BC42" s="309"/>
      <c r="BD42" s="309"/>
      <c r="BE42" s="308"/>
      <c r="BF42" s="309"/>
      <c r="BG42" s="309"/>
      <c r="BH42" s="308"/>
      <c r="BI42" s="309"/>
      <c r="BJ42" s="309"/>
      <c r="BK42" s="308"/>
      <c r="BL42" s="309"/>
      <c r="BM42" s="309"/>
      <c r="BN42" s="308"/>
      <c r="BO42" s="309"/>
      <c r="BP42" s="309"/>
      <c r="BQ42" s="308"/>
      <c r="BR42" s="309"/>
      <c r="BS42" s="309"/>
      <c r="BT42" s="308"/>
      <c r="BU42" s="309"/>
      <c r="BV42" s="309"/>
      <c r="BW42" s="308"/>
      <c r="BX42" s="309"/>
      <c r="BY42" s="309"/>
      <c r="BZ42" s="308"/>
      <c r="CA42" s="309"/>
      <c r="CB42" s="309"/>
      <c r="CC42" s="308"/>
      <c r="CD42" s="309"/>
      <c r="CE42" s="309"/>
      <c r="CF42" s="308"/>
      <c r="CG42" s="309"/>
      <c r="CH42" s="309"/>
      <c r="CI42" s="308"/>
      <c r="CJ42" s="309"/>
      <c r="CK42" s="309"/>
      <c r="CL42" s="308"/>
      <c r="CM42" s="309"/>
      <c r="CN42" s="309"/>
      <c r="CO42" s="308"/>
      <c r="CP42" s="309"/>
      <c r="CQ42" s="309"/>
    </row>
    <row r="43" spans="1:95" s="13" customFormat="1" ht="15" customHeight="1" x14ac:dyDescent="0.25">
      <c r="A43" s="58"/>
      <c r="B43" s="58"/>
      <c r="C43" s="58" t="s">
        <v>35</v>
      </c>
      <c r="D43" s="351" t="s">
        <v>158</v>
      </c>
      <c r="E43" s="352"/>
      <c r="F43" s="310" t="s">
        <v>52</v>
      </c>
      <c r="G43" s="311"/>
      <c r="H43" s="311"/>
      <c r="I43" s="310" t="s">
        <v>52</v>
      </c>
      <c r="J43" s="311"/>
      <c r="K43" s="311"/>
      <c r="L43" s="310" t="s">
        <v>159</v>
      </c>
      <c r="M43" s="311"/>
      <c r="N43" s="311"/>
      <c r="O43" s="310" t="s">
        <v>52</v>
      </c>
      <c r="P43" s="311"/>
      <c r="Q43" s="311"/>
      <c r="R43" s="310" t="s">
        <v>52</v>
      </c>
      <c r="S43" s="311"/>
      <c r="T43" s="311"/>
      <c r="U43" s="310" t="s">
        <v>52</v>
      </c>
      <c r="V43" s="311"/>
      <c r="W43" s="311"/>
      <c r="X43" s="310" t="s">
        <v>160</v>
      </c>
      <c r="Y43" s="311"/>
      <c r="Z43" s="311"/>
      <c r="AA43" s="310" t="s">
        <v>52</v>
      </c>
      <c r="AB43" s="311"/>
      <c r="AC43" s="311"/>
      <c r="AD43" s="310" t="s">
        <v>52</v>
      </c>
      <c r="AE43" s="311"/>
      <c r="AF43" s="311"/>
      <c r="AG43" s="310" t="s">
        <v>52</v>
      </c>
      <c r="AH43" s="311"/>
      <c r="AI43" s="311"/>
      <c r="AJ43" s="310" t="s">
        <v>52</v>
      </c>
      <c r="AK43" s="311"/>
      <c r="AL43" s="311"/>
      <c r="AM43" s="310"/>
      <c r="AN43" s="311"/>
      <c r="AO43" s="311"/>
      <c r="AP43" s="310"/>
      <c r="AQ43" s="311"/>
      <c r="AR43" s="311"/>
      <c r="AS43" s="310"/>
      <c r="AT43" s="311"/>
      <c r="AU43" s="311"/>
      <c r="AV43" s="310"/>
      <c r="AW43" s="311"/>
      <c r="AX43" s="311"/>
      <c r="AY43" s="310"/>
      <c r="AZ43" s="311"/>
      <c r="BA43" s="311"/>
      <c r="BB43" s="310"/>
      <c r="BC43" s="311"/>
      <c r="BD43" s="311"/>
      <c r="BE43" s="310"/>
      <c r="BF43" s="311"/>
      <c r="BG43" s="311"/>
      <c r="BH43" s="310"/>
      <c r="BI43" s="311"/>
      <c r="BJ43" s="311"/>
      <c r="BK43" s="310"/>
      <c r="BL43" s="311"/>
      <c r="BM43" s="311"/>
      <c r="BN43" s="310"/>
      <c r="BO43" s="311"/>
      <c r="BP43" s="311"/>
      <c r="BQ43" s="310"/>
      <c r="BR43" s="311"/>
      <c r="BS43" s="311"/>
      <c r="BT43" s="310"/>
      <c r="BU43" s="311"/>
      <c r="BV43" s="311"/>
      <c r="BW43" s="310"/>
      <c r="BX43" s="311"/>
      <c r="BY43" s="311"/>
      <c r="BZ43" s="310"/>
      <c r="CA43" s="311"/>
      <c r="CB43" s="311"/>
      <c r="CC43" s="310"/>
      <c r="CD43" s="311"/>
      <c r="CE43" s="311"/>
      <c r="CF43" s="310"/>
      <c r="CG43" s="311"/>
      <c r="CH43" s="311"/>
      <c r="CI43" s="310"/>
      <c r="CJ43" s="311"/>
      <c r="CK43" s="311"/>
      <c r="CL43" s="310"/>
      <c r="CM43" s="311"/>
      <c r="CN43" s="311"/>
      <c r="CO43" s="310"/>
      <c r="CP43" s="311"/>
      <c r="CQ43" s="311"/>
    </row>
    <row r="44" spans="1:95" s="1" customFormat="1" ht="18.75" customHeight="1" x14ac:dyDescent="0.25">
      <c r="A44" s="355" t="s">
        <v>161</v>
      </c>
      <c r="B44" s="355"/>
      <c r="C44" s="355"/>
      <c r="D44" s="355"/>
      <c r="E44" s="355"/>
      <c r="F44" s="48">
        <f>IF(SUMMARY!$B$7=TRUE,IF(COUNTBLANK(F45:F46)&gt;0,0,1),"")</f>
        <v>1</v>
      </c>
      <c r="G44" s="49"/>
      <c r="H44" s="49"/>
      <c r="I44" s="50">
        <f>IF(SUMMARY!$B$8=TRUE,IF(COUNTBLANK(I45:I46)&gt;0,0,1),"")</f>
        <v>1</v>
      </c>
      <c r="J44" s="49"/>
      <c r="K44" s="49"/>
      <c r="L44" s="50">
        <f>IF(SUMMARY!$B$9=TRUE,IF(COUNTBLANK(L45:L46)&gt;0,0,1),"")</f>
        <v>1</v>
      </c>
      <c r="M44" s="49"/>
      <c r="N44" s="49"/>
      <c r="O44" s="50">
        <f>IF(SUMMARY!$B$10=TRUE,IF(COUNTBLANK(O45:O46)&gt;0,0,1),"")</f>
        <v>1</v>
      </c>
      <c r="P44" s="49"/>
      <c r="Q44" s="49"/>
      <c r="R44" s="50">
        <f>IF(SUMMARY!$B$11=TRUE,IF(COUNTBLANK(R45:R46)&gt;0,0,1),"")</f>
        <v>1</v>
      </c>
      <c r="S44" s="49"/>
      <c r="T44" s="49"/>
      <c r="U44" s="50">
        <f>IF(SUMMARY!$B$12=TRUE,IF(COUNTBLANK(U45:U46)&gt;0,0,1),"")</f>
        <v>1</v>
      </c>
      <c r="V44" s="49"/>
      <c r="W44" s="49"/>
      <c r="X44" s="50">
        <f>IF(SUMMARY!$B$13=TRUE,IF(COUNTBLANK(X45:X46)&gt;0,0,1),"")</f>
        <v>1</v>
      </c>
      <c r="Y44" s="49"/>
      <c r="Z44" s="49"/>
      <c r="AA44" s="50">
        <f>IF(SUMMARY!$B$14=TRUE,IF(COUNTBLANK(AA45:AA46)&gt;0,0,1),"")</f>
        <v>1</v>
      </c>
      <c r="AB44" s="49"/>
      <c r="AC44" s="49"/>
      <c r="AD44" s="50">
        <f>IF(SUMMARY!$B$15=TRUE,IF(COUNTBLANK(AD45:AD46)&gt;0,0,1),"")</f>
        <v>1</v>
      </c>
      <c r="AE44" s="49"/>
      <c r="AF44" s="49"/>
      <c r="AG44" s="50">
        <f>IF(SUMMARY!$B$16=TRUE,IF(COUNTBLANK(AG45:AG46)&gt;0,0,1),"")</f>
        <v>1</v>
      </c>
      <c r="AH44" s="49"/>
      <c r="AI44" s="49"/>
      <c r="AJ44" s="50">
        <f>IF(SUMMARY!$B$17=TRUE,IF(COUNTBLANK(AJ45:AJ46)&gt;0,0,1),"")</f>
        <v>1</v>
      </c>
      <c r="AK44" s="49"/>
      <c r="AL44" s="49"/>
      <c r="AM44" s="50">
        <f>IF(SUMMARY!$B$18=TRUE,IF(COUNTBLANK(AM45:AM46)&gt;0,0,1),"")</f>
        <v>0</v>
      </c>
      <c r="AN44" s="49"/>
      <c r="AO44" s="49"/>
      <c r="AP44" s="50">
        <f>IF(SUMMARY!$B$19=TRUE,IF(COUNTBLANK(AP45:AP46)&gt;0,0,1),"")</f>
        <v>0</v>
      </c>
      <c r="AQ44" s="49"/>
      <c r="AR44" s="49"/>
      <c r="AS44" s="50">
        <f>IF(SUMMARY!$B$20=TRUE,IF(COUNTBLANK(AS45:AS46)&gt;0,0,1),"")</f>
        <v>0</v>
      </c>
      <c r="AT44" s="49"/>
      <c r="AU44" s="49"/>
      <c r="AV44" s="50">
        <f>IF(SUMMARY!$B$21=TRUE,IF(COUNTBLANK(AV45:AV46)&gt;0,0,1),"")</f>
        <v>0</v>
      </c>
      <c r="AW44" s="49"/>
      <c r="AX44" s="49"/>
      <c r="AY44" s="50">
        <f>IF(SUMMARY!$B$22=TRUE,IF(COUNTBLANK(AY45:AY46)&gt;0,0,1),"")</f>
        <v>0</v>
      </c>
      <c r="AZ44" s="49"/>
      <c r="BA44" s="49"/>
      <c r="BB44" s="50">
        <f>IF(SUMMARY!$B$23=TRUE,IF(COUNTBLANK(BB45:BB46)&gt;0,0,1),"")</f>
        <v>0</v>
      </c>
      <c r="BC44" s="49"/>
      <c r="BD44" s="49"/>
      <c r="BE44" s="50">
        <f>IF(SUMMARY!$B$24=TRUE,IF(COUNTBLANK(BE45:BE46)&gt;0,0,1),"")</f>
        <v>0</v>
      </c>
      <c r="BF44" s="49"/>
      <c r="BG44" s="49"/>
      <c r="BH44" s="50">
        <f>IF(SUMMARY!$B$25=TRUE,IF(COUNTBLANK(BH45:BH46)&gt;0,0,1),"")</f>
        <v>0</v>
      </c>
      <c r="BI44" s="49"/>
      <c r="BJ44" s="49"/>
      <c r="BK44" s="50">
        <f>IF(SUMMARY!$B$26=TRUE,IF(COUNTBLANK(BK45:BK46)&gt;0,0,1),"")</f>
        <v>0</v>
      </c>
      <c r="BL44" s="49"/>
      <c r="BM44" s="49"/>
      <c r="BN44" s="50">
        <f>IF(SUMMARY!$B$27=TRUE,IF(COUNTBLANK(BN45:BN46)&gt;0,0,1),"")</f>
        <v>0</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35</v>
      </c>
      <c r="B45" s="69"/>
      <c r="C45" s="69"/>
      <c r="D45" s="349" t="s">
        <v>162</v>
      </c>
      <c r="E45" s="350"/>
      <c r="F45" s="333">
        <v>13617</v>
      </c>
      <c r="G45" s="334"/>
      <c r="H45" s="334"/>
      <c r="I45" s="333">
        <v>440</v>
      </c>
      <c r="J45" s="334"/>
      <c r="K45" s="334"/>
      <c r="L45" s="333">
        <v>437</v>
      </c>
      <c r="M45" s="334"/>
      <c r="N45" s="334"/>
      <c r="O45" s="333">
        <v>128</v>
      </c>
      <c r="P45" s="334"/>
      <c r="Q45" s="334"/>
      <c r="R45" s="333">
        <v>361</v>
      </c>
      <c r="S45" s="334"/>
      <c r="T45" s="334"/>
      <c r="U45" s="333">
        <v>361</v>
      </c>
      <c r="V45" s="334"/>
      <c r="W45" s="334"/>
      <c r="X45" s="333">
        <v>2715</v>
      </c>
      <c r="Y45" s="334"/>
      <c r="Z45" s="334"/>
      <c r="AA45" s="333">
        <v>138</v>
      </c>
      <c r="AB45" s="334"/>
      <c r="AC45" s="334"/>
      <c r="AD45" s="333">
        <v>424</v>
      </c>
      <c r="AE45" s="334"/>
      <c r="AF45" s="334"/>
      <c r="AG45" s="333">
        <v>779</v>
      </c>
      <c r="AH45" s="334"/>
      <c r="AI45" s="334"/>
      <c r="AJ45" s="333">
        <v>779</v>
      </c>
      <c r="AK45" s="334"/>
      <c r="AL45" s="334"/>
      <c r="AM45" s="333"/>
      <c r="AN45" s="334"/>
      <c r="AO45" s="334"/>
      <c r="AP45" s="333"/>
      <c r="AQ45" s="334"/>
      <c r="AR45" s="334"/>
      <c r="AS45" s="333"/>
      <c r="AT45" s="334"/>
      <c r="AU45" s="334"/>
      <c r="AV45" s="333"/>
      <c r="AW45" s="334"/>
      <c r="AX45" s="334"/>
      <c r="AY45" s="333"/>
      <c r="AZ45" s="334"/>
      <c r="BA45" s="334"/>
      <c r="BB45" s="333"/>
      <c r="BC45" s="334"/>
      <c r="BD45" s="334"/>
      <c r="BE45" s="333"/>
      <c r="BF45" s="334"/>
      <c r="BG45" s="334"/>
      <c r="BH45" s="333"/>
      <c r="BI45" s="334"/>
      <c r="BJ45" s="334"/>
      <c r="BK45" s="333"/>
      <c r="BL45" s="334"/>
      <c r="BM45" s="334"/>
      <c r="BN45" s="333"/>
      <c r="BO45" s="334"/>
      <c r="BP45" s="334"/>
      <c r="BQ45" s="333"/>
      <c r="BR45" s="334"/>
      <c r="BS45" s="334"/>
      <c r="BT45" s="333"/>
      <c r="BU45" s="334"/>
      <c r="BV45" s="334"/>
      <c r="BW45" s="333"/>
      <c r="BX45" s="334"/>
      <c r="BY45" s="334"/>
      <c r="BZ45" s="333"/>
      <c r="CA45" s="334"/>
      <c r="CB45" s="334"/>
      <c r="CC45" s="333"/>
      <c r="CD45" s="334"/>
      <c r="CE45" s="334"/>
      <c r="CF45" s="333"/>
      <c r="CG45" s="334"/>
      <c r="CH45" s="334"/>
      <c r="CI45" s="333"/>
      <c r="CJ45" s="334"/>
      <c r="CK45" s="334"/>
      <c r="CL45" s="333"/>
      <c r="CM45" s="334"/>
      <c r="CN45" s="334"/>
      <c r="CO45" s="333"/>
      <c r="CP45" s="334"/>
      <c r="CQ45" s="334"/>
    </row>
    <row r="46" spans="1:95" s="13" customFormat="1" ht="15" customHeight="1" x14ac:dyDescent="0.25">
      <c r="A46" s="62" t="s">
        <v>35</v>
      </c>
      <c r="B46" s="62"/>
      <c r="C46" s="62"/>
      <c r="D46" s="347" t="s">
        <v>163</v>
      </c>
      <c r="E46" s="348"/>
      <c r="F46" s="331">
        <v>1117</v>
      </c>
      <c r="G46" s="332"/>
      <c r="H46" s="332"/>
      <c r="I46" s="331">
        <v>40</v>
      </c>
      <c r="J46" s="332"/>
      <c r="K46" s="332"/>
      <c r="L46" s="331">
        <v>106</v>
      </c>
      <c r="M46" s="332"/>
      <c r="N46" s="332"/>
      <c r="O46" s="331">
        <v>21</v>
      </c>
      <c r="P46" s="332"/>
      <c r="Q46" s="332"/>
      <c r="R46" s="331">
        <v>56</v>
      </c>
      <c r="S46" s="332"/>
      <c r="T46" s="332"/>
      <c r="U46" s="331">
        <v>56</v>
      </c>
      <c r="V46" s="332"/>
      <c r="W46" s="332"/>
      <c r="X46" s="331">
        <v>298</v>
      </c>
      <c r="Y46" s="332"/>
      <c r="Z46" s="332"/>
      <c r="AA46" s="331">
        <v>28</v>
      </c>
      <c r="AB46" s="332"/>
      <c r="AC46" s="332"/>
      <c r="AD46" s="331">
        <v>124</v>
      </c>
      <c r="AE46" s="332"/>
      <c r="AF46" s="332"/>
      <c r="AG46" s="331">
        <v>208</v>
      </c>
      <c r="AH46" s="332"/>
      <c r="AI46" s="332"/>
      <c r="AJ46" s="331">
        <v>208</v>
      </c>
      <c r="AK46" s="332"/>
      <c r="AL46" s="332"/>
      <c r="AM46" s="331"/>
      <c r="AN46" s="332"/>
      <c r="AO46" s="332"/>
      <c r="AP46" s="331"/>
      <c r="AQ46" s="332"/>
      <c r="AR46" s="332"/>
      <c r="AS46" s="331"/>
      <c r="AT46" s="332"/>
      <c r="AU46" s="332"/>
      <c r="AV46" s="331"/>
      <c r="AW46" s="332"/>
      <c r="AX46" s="332"/>
      <c r="AY46" s="331"/>
      <c r="AZ46" s="332"/>
      <c r="BA46" s="332"/>
      <c r="BB46" s="331"/>
      <c r="BC46" s="332"/>
      <c r="BD46" s="332"/>
      <c r="BE46" s="331"/>
      <c r="BF46" s="332"/>
      <c r="BG46" s="332"/>
      <c r="BH46" s="331"/>
      <c r="BI46" s="332"/>
      <c r="BJ46" s="332"/>
      <c r="BK46" s="331"/>
      <c r="BL46" s="332"/>
      <c r="BM46" s="332"/>
      <c r="BN46" s="331"/>
      <c r="BO46" s="332"/>
      <c r="BP46" s="332"/>
      <c r="BQ46" s="331"/>
      <c r="BR46" s="332"/>
      <c r="BS46" s="332"/>
      <c r="BT46" s="331"/>
      <c r="BU46" s="332"/>
      <c r="BV46" s="332"/>
      <c r="BW46" s="331"/>
      <c r="BX46" s="332"/>
      <c r="BY46" s="332"/>
      <c r="BZ46" s="331"/>
      <c r="CA46" s="332"/>
      <c r="CB46" s="332"/>
      <c r="CC46" s="331"/>
      <c r="CD46" s="332"/>
      <c r="CE46" s="332"/>
      <c r="CF46" s="331"/>
      <c r="CG46" s="332"/>
      <c r="CH46" s="332"/>
      <c r="CI46" s="331"/>
      <c r="CJ46" s="332"/>
      <c r="CK46" s="332"/>
      <c r="CL46" s="331"/>
      <c r="CM46" s="332"/>
      <c r="CN46" s="332"/>
      <c r="CO46" s="331"/>
      <c r="CP46" s="332"/>
      <c r="CQ46" s="332"/>
    </row>
    <row r="47" spans="1:95" s="13" customFormat="1" ht="15" hidden="1" customHeight="1" x14ac:dyDescent="0.25">
      <c r="A47" s="63"/>
      <c r="B47" s="63"/>
      <c r="C47" s="63"/>
      <c r="D47" s="166"/>
      <c r="E47" s="70"/>
      <c r="F47" s="308">
        <f>MAX(F45-F46,0)</f>
        <v>12500</v>
      </c>
      <c r="G47" s="309"/>
      <c r="H47" s="309"/>
      <c r="I47" s="308">
        <f>MAX(I45-I46,0)</f>
        <v>400</v>
      </c>
      <c r="J47" s="309"/>
      <c r="K47" s="309"/>
      <c r="L47" s="308">
        <f>MAX(L45-L46,0)</f>
        <v>331</v>
      </c>
      <c r="M47" s="309"/>
      <c r="N47" s="309"/>
      <c r="O47" s="308">
        <f>MAX(O45-O46,0)</f>
        <v>107</v>
      </c>
      <c r="P47" s="309"/>
      <c r="Q47" s="309"/>
      <c r="R47" s="308">
        <f>MAX(R45-R46,0)</f>
        <v>305</v>
      </c>
      <c r="S47" s="309"/>
      <c r="T47" s="309"/>
      <c r="U47" s="308">
        <f>MAX(U45-U46,0)</f>
        <v>305</v>
      </c>
      <c r="V47" s="309"/>
      <c r="W47" s="309"/>
      <c r="X47" s="308">
        <f>MAX(X45-X46,0)</f>
        <v>2417</v>
      </c>
      <c r="Y47" s="309"/>
      <c r="Z47" s="309"/>
      <c r="AA47" s="308">
        <f>MAX(AA45-AA46,0)</f>
        <v>110</v>
      </c>
      <c r="AB47" s="309"/>
      <c r="AC47" s="309"/>
      <c r="AD47" s="308">
        <f>MAX(AD45-AD46,0)</f>
        <v>300</v>
      </c>
      <c r="AE47" s="309"/>
      <c r="AF47" s="309"/>
      <c r="AG47" s="308">
        <f>MAX(AG45-AG46,0)</f>
        <v>571</v>
      </c>
      <c r="AH47" s="309"/>
      <c r="AI47" s="309"/>
      <c r="AJ47" s="308">
        <f>MAX(AJ45-AJ46,0)</f>
        <v>571</v>
      </c>
      <c r="AK47" s="309"/>
      <c r="AL47" s="309"/>
      <c r="AM47" s="308">
        <f>MAX(AM45-AM46,0)</f>
        <v>0</v>
      </c>
      <c r="AN47" s="309"/>
      <c r="AO47" s="309"/>
      <c r="AP47" s="308">
        <f>MAX(AP45-AP46,0)</f>
        <v>0</v>
      </c>
      <c r="AQ47" s="309"/>
      <c r="AR47" s="309"/>
      <c r="AS47" s="308">
        <f>MAX(AS45-AS46,0)</f>
        <v>0</v>
      </c>
      <c r="AT47" s="309"/>
      <c r="AU47" s="309"/>
      <c r="AV47" s="308">
        <f>MAX(AV45-AV46,0)</f>
        <v>0</v>
      </c>
      <c r="AW47" s="309"/>
      <c r="AX47" s="309"/>
      <c r="AY47" s="308">
        <f>MAX(AY45-AY46,0)</f>
        <v>0</v>
      </c>
      <c r="AZ47" s="309"/>
      <c r="BA47" s="309"/>
      <c r="BB47" s="308">
        <f>MAX(BB45-BB46,0)</f>
        <v>0</v>
      </c>
      <c r="BC47" s="309"/>
      <c r="BD47" s="309"/>
      <c r="BE47" s="308">
        <f>MAX(BE45-BE46,0)</f>
        <v>0</v>
      </c>
      <c r="BF47" s="309"/>
      <c r="BG47" s="309"/>
      <c r="BH47" s="308">
        <f>MAX(BH45-BH46,0)</f>
        <v>0</v>
      </c>
      <c r="BI47" s="309"/>
      <c r="BJ47" s="309"/>
      <c r="BK47" s="308">
        <f>MAX(BK45-BK46,0)</f>
        <v>0</v>
      </c>
      <c r="BL47" s="309"/>
      <c r="BM47" s="309"/>
      <c r="BN47" s="308">
        <f>MAX(BN45-BN46,0)</f>
        <v>0</v>
      </c>
      <c r="BO47" s="309"/>
      <c r="BP47" s="309"/>
      <c r="BQ47" s="308">
        <f>MAX(BQ45-BQ46,0)</f>
        <v>0</v>
      </c>
      <c r="BR47" s="309"/>
      <c r="BS47" s="309"/>
      <c r="BT47" s="308">
        <f>MAX(BT45-BT46,0)</f>
        <v>0</v>
      </c>
      <c r="BU47" s="309"/>
      <c r="BV47" s="309"/>
      <c r="BW47" s="308">
        <f>MAX(BW45-BW46,0)</f>
        <v>0</v>
      </c>
      <c r="BX47" s="309"/>
      <c r="BY47" s="309"/>
      <c r="BZ47" s="308">
        <f>MAX(BZ45-BZ46,0)</f>
        <v>0</v>
      </c>
      <c r="CA47" s="309"/>
      <c r="CB47" s="309"/>
      <c r="CC47" s="308">
        <f>MAX(CC45-CC46,0)</f>
        <v>0</v>
      </c>
      <c r="CD47" s="309"/>
      <c r="CE47" s="309"/>
      <c r="CF47" s="308">
        <f>MAX(CF45-CF46,0)</f>
        <v>0</v>
      </c>
      <c r="CG47" s="309"/>
      <c r="CH47" s="309"/>
      <c r="CI47" s="308">
        <f>MAX(CI45-CI46,0)</f>
        <v>0</v>
      </c>
      <c r="CJ47" s="309"/>
      <c r="CK47" s="309"/>
      <c r="CL47" s="308">
        <f>MAX(CL45-CL46,0)</f>
        <v>0</v>
      </c>
      <c r="CM47" s="309"/>
      <c r="CN47" s="309"/>
      <c r="CO47" s="308">
        <f>MAX(CO45-CO46,0)</f>
        <v>0</v>
      </c>
      <c r="CP47" s="309"/>
      <c r="CQ47" s="309"/>
    </row>
    <row r="48" spans="1:95" s="13" customFormat="1" ht="15" customHeight="1" x14ac:dyDescent="0.25">
      <c r="A48" s="58"/>
      <c r="B48" s="58"/>
      <c r="C48" s="58" t="s">
        <v>35</v>
      </c>
      <c r="D48" s="351" t="s">
        <v>164</v>
      </c>
      <c r="E48" s="352"/>
      <c r="F48" s="329">
        <f>IF(OR(F$38="",F$46=""),"",IF(F$53="Survival",IF(ISERROR(F$46/F$38),"Unknown",F$46/F$38),IF(ISERROR(MIN(F$46,F$47)/F$38),"Unknown",MIN(F$46,F$47)/F$38)))</f>
        <v>29.394736842105264</v>
      </c>
      <c r="G48" s="330"/>
      <c r="H48" s="330"/>
      <c r="I48" s="329">
        <f>IF(OR(I$38="",I$46=""),"",IF(I$53="Survival",IF(ISERROR(I$46/I$38),"Unknown",I$46/I$38),IF(ISERROR(MIN(I$46,I$47)/I$38),"Unknown",MIN(I$46,I$47)/I$38)))</f>
        <v>2.1052631578947367</v>
      </c>
      <c r="J48" s="330"/>
      <c r="K48" s="330"/>
      <c r="L48" s="329" t="str">
        <f>IF(OR(L$38="",L$46=""),"",IF(L$53="Survival",IF(ISERROR(L$46/L$38),"Unknown",L$46/L$38),IF(ISERROR(MIN(L$46,L$47)/L$38),"Unknown",MIN(L$46,L$47)/L$38)))</f>
        <v>Unknown</v>
      </c>
      <c r="M48" s="330"/>
      <c r="N48" s="330"/>
      <c r="O48" s="329">
        <f>IF(OR(O$38="",O$46=""),"",IF(O$53="Survival",IF(ISERROR(O$46/O$38),"Unknown",O$46/O$38),IF(ISERROR(MIN(O$46,O$47)/O$38),"Unknown",MIN(O$46,O$47)/O$38)))</f>
        <v>1.4</v>
      </c>
      <c r="P48" s="330"/>
      <c r="Q48" s="330"/>
      <c r="R48" s="329">
        <f>IF(OR(R$38="",R$46=""),"",IF(R$53="Survival",IF(ISERROR(R$46/R$38),"Unknown",R$46/R$38),IF(ISERROR(MIN(R$46,R$47)/R$38),"Unknown",MIN(R$46,R$47)/R$38)))</f>
        <v>0.98245614035087714</v>
      </c>
      <c r="S48" s="330"/>
      <c r="T48" s="330"/>
      <c r="U48" s="329">
        <f>IF(OR(U$38="",U$46=""),"",IF(U$53="Survival",IF(ISERROR(U$46/U$38),"Unknown",U$46/U$38),IF(ISERROR(MIN(U$46,U$47)/U$38),"Unknown",MIN(U$46,U$47)/U$38)))</f>
        <v>0.98245614035087714</v>
      </c>
      <c r="V48" s="330"/>
      <c r="W48" s="330"/>
      <c r="X48" s="329">
        <f>IF(OR(X$38="",X$46=""),"",IF(X$53="Survival",IF(ISERROR(X$46/X$38),"Unknown",X$46/X$38),IF(ISERROR(MIN(X$46,X$47)/X$38),"Unknown",MIN(X$46,X$47)/X$38)))</f>
        <v>9.3125</v>
      </c>
      <c r="Y48" s="330"/>
      <c r="Z48" s="330"/>
      <c r="AA48" s="329">
        <f>IF(OR(AA$38="",AA$46=""),"",IF(AA$53="Survival",IF(ISERROR(AA$46/AA$38),"Unknown",AA$46/AA$38),IF(ISERROR(MIN(AA$46,AA$47)/AA$38),"Unknown",MIN(AA$46,AA$47)/AA$38)))</f>
        <v>0.5</v>
      </c>
      <c r="AB48" s="330"/>
      <c r="AC48" s="330"/>
      <c r="AD48" s="329">
        <f>IF(OR(AD$38="",AD$46=""),"",IF(AD$53="Survival",IF(ISERROR(AD$46/AD$38),"Unknown",AD$46/AD$38),IF(ISERROR(MIN(AD$46,AD$47)/AD$38),"Unknown",MIN(AD$46,AD$47)/AD$38)))</f>
        <v>3.3513513513513513</v>
      </c>
      <c r="AE48" s="330"/>
      <c r="AF48" s="330"/>
      <c r="AG48" s="329">
        <f>IF(OR(AG$38="",AG$46=""),"",IF(AG$53="Survival",IF(ISERROR(AG$46/AG$38),"Unknown",AG$46/AG$38),IF(ISERROR(MIN(AG$46,AG$47)/AG$38),"Unknown",MIN(AG$46,AG$47)/AG$38)))</f>
        <v>8</v>
      </c>
      <c r="AH48" s="330"/>
      <c r="AI48" s="330"/>
      <c r="AJ48" s="329">
        <f>IF(OR(AJ$38="",AJ$46=""),"",IF(AJ$53="Survival",IF(ISERROR(AJ$46/AJ$38),"Unknown",AJ$46/AJ$38),IF(ISERROR(MIN(AJ$46,AJ$47)/AJ$38),"Unknown",MIN(AJ$46,AJ$47)/AJ$38)))</f>
        <v>7.7037037037037033</v>
      </c>
      <c r="AK48" s="330"/>
      <c r="AL48" s="330"/>
      <c r="AM48" s="329" t="str">
        <f>IF(OR(AM$38="",AM$46=""),"",IF(AM$53="Survival",IF(ISERROR(AM$46/AM$38),"Unknown",AM$46/AM$38),IF(ISERROR(MIN(AM$46,AM$47)/AM$38),"Unknown",MIN(AM$46,AM$47)/AM$38)))</f>
        <v/>
      </c>
      <c r="AN48" s="330"/>
      <c r="AO48" s="330"/>
      <c r="AP48" s="329" t="str">
        <f>IF(OR(AP$38="",AP$46=""),"",IF(AP$53="Survival",IF(ISERROR(AP$46/AP$38),"Unknown",AP$46/AP$38),IF(ISERROR(MIN(AP$46,AP$47)/AP$38),"Unknown",MIN(AP$46,AP$47)/AP$38)))</f>
        <v/>
      </c>
      <c r="AQ48" s="330"/>
      <c r="AR48" s="330"/>
      <c r="AS48" s="329" t="str">
        <f>IF(OR(AS$38="",AS$46=""),"",IF(AS$53="Survival",IF(ISERROR(AS$46/AS$38),"Unknown",AS$46/AS$38),IF(ISERROR(MIN(AS$46,AS$47)/AS$38),"Unknown",MIN(AS$46,AS$47)/AS$38)))</f>
        <v/>
      </c>
      <c r="AT48" s="330"/>
      <c r="AU48" s="330"/>
      <c r="AV48" s="329" t="str">
        <f>IF(OR(AV$38="",AV$46=""),"",IF(AV$53="Survival",IF(ISERROR(AV$46/AV$38),"Unknown",AV$46/AV$38),IF(ISERROR(MIN(AV$46,AV$47)/AV$38),"Unknown",MIN(AV$46,AV$47)/AV$38)))</f>
        <v/>
      </c>
      <c r="AW48" s="330"/>
      <c r="AX48" s="330"/>
      <c r="AY48" s="329" t="str">
        <f>IF(OR(AY$38="",AY$46=""),"",IF(AY$53="Survival",IF(ISERROR(AY$46/AY$38),"Unknown",AY$46/AY$38),IF(ISERROR(MIN(AY$46,AY$47)/AY$38),"Unknown",MIN(AY$46,AY$47)/AY$38)))</f>
        <v/>
      </c>
      <c r="AZ48" s="330"/>
      <c r="BA48" s="330"/>
      <c r="BB48" s="329" t="str">
        <f>IF(OR(BB$38="",BB$46=""),"",IF(BB$53="Survival",IF(ISERROR(BB$46/BB$38),"Unknown",BB$46/BB$38),IF(ISERROR(MIN(BB$46,BB$47)/BB$38),"Unknown",MIN(BB$46,BB$47)/BB$38)))</f>
        <v/>
      </c>
      <c r="BC48" s="330"/>
      <c r="BD48" s="330"/>
      <c r="BE48" s="329" t="str">
        <f>IF(OR(BE$38="",BE$46=""),"",IF(BE$53="Survival",IF(ISERROR(BE$46/BE$38),"Unknown",BE$46/BE$38),IF(ISERROR(MIN(BE$46,BE$47)/BE$38),"Unknown",MIN(BE$46,BE$47)/BE$38)))</f>
        <v/>
      </c>
      <c r="BF48" s="330"/>
      <c r="BG48" s="330"/>
      <c r="BH48" s="329" t="str">
        <f>IF(OR(BH$38="",BH$46=""),"",IF(BH$53="Survival",IF(ISERROR(BH$46/BH$38),"Unknown",BH$46/BH$38),IF(ISERROR(MIN(BH$46,BH$47)/BH$38),"Unknown",MIN(BH$46,BH$47)/BH$38)))</f>
        <v/>
      </c>
      <c r="BI48" s="330"/>
      <c r="BJ48" s="330"/>
      <c r="BK48" s="329" t="str">
        <f>IF(OR(BK$38="",BK$46=""),"",IF(BK$53="Survival",IF(ISERROR(BK$46/BK$38),"Unknown",BK$46/BK$38),IF(ISERROR(MIN(BK$46,BK$47)/BK$38),"Unknown",MIN(BK$46,BK$47)/BK$38)))</f>
        <v/>
      </c>
      <c r="BL48" s="330"/>
      <c r="BM48" s="330"/>
      <c r="BN48" s="329" t="str">
        <f>IF(OR(BN$38="",BN$46=""),"",IF(BN$53="Survival",IF(ISERROR(BN$46/BN$38),"Unknown",BN$46/BN$38),IF(ISERROR(MIN(BN$46,BN$47)/BN$38),"Unknown",MIN(BN$46,BN$47)/BN$38)))</f>
        <v/>
      </c>
      <c r="BO48" s="330"/>
      <c r="BP48" s="330"/>
      <c r="BQ48" s="329" t="str">
        <f>IF(OR(BQ$38="",BQ$46=""),"",IF(BQ$53="Survival",IF(ISERROR(BQ$46/BQ$38),"Unknown",BQ$46/BQ$38),IF(ISERROR(MIN(BQ$46,BQ$47)/BQ$38),"Unknown",MIN(BQ$46,BQ$47)/BQ$38)))</f>
        <v/>
      </c>
      <c r="BR48" s="330"/>
      <c r="BS48" s="330"/>
      <c r="BT48" s="329" t="str">
        <f>IF(OR(BT$38="",BT$46=""),"",IF(BT$53="Survival",IF(ISERROR(BT$46/BT$38),"Unknown",BT$46/BT$38),IF(ISERROR(MIN(BT$46,BT$47)/BT$38),"Unknown",MIN(BT$46,BT$47)/BT$38)))</f>
        <v/>
      </c>
      <c r="BU48" s="330"/>
      <c r="BV48" s="330"/>
      <c r="BW48" s="329" t="str">
        <f>IF(OR(BW$38="",BW$46=""),"",IF(BW$53="Survival",IF(ISERROR(BW$46/BW$38),"Unknown",BW$46/BW$38),IF(ISERROR(MIN(BW$46,BW$47)/BW$38),"Unknown",MIN(BW$46,BW$47)/BW$38)))</f>
        <v/>
      </c>
      <c r="BX48" s="330"/>
      <c r="BY48" s="330"/>
      <c r="BZ48" s="329" t="str">
        <f>IF(OR(BZ$38="",BZ$46=""),"",IF(BZ$53="Survival",IF(ISERROR(BZ$46/BZ$38),"Unknown",BZ$46/BZ$38),IF(ISERROR(MIN(BZ$46,BZ$47)/BZ$38),"Unknown",MIN(BZ$46,BZ$47)/BZ$38)))</f>
        <v/>
      </c>
      <c r="CA48" s="330"/>
      <c r="CB48" s="330"/>
      <c r="CC48" s="329" t="str">
        <f>IF(OR(CC$38="",CC$46=""),"",IF(CC$53="Survival",IF(ISERROR(CC$46/CC$38),"Unknown",CC$46/CC$38),IF(ISERROR(MIN(CC$46,CC$47)/CC$38),"Unknown",MIN(CC$46,CC$47)/CC$38)))</f>
        <v/>
      </c>
      <c r="CD48" s="330"/>
      <c r="CE48" s="330"/>
      <c r="CF48" s="329" t="str">
        <f>IF(OR(CF$38="",CF$46=""),"",IF(CF$53="Survival",IF(ISERROR(CF$46/CF$38),"Unknown",CF$46/CF$38),IF(ISERROR(MIN(CF$46,CF$47)/CF$38),"Unknown",MIN(CF$46,CF$47)/CF$38)))</f>
        <v/>
      </c>
      <c r="CG48" s="330"/>
      <c r="CH48" s="330"/>
      <c r="CI48" s="329" t="str">
        <f>IF(OR(CI$38="",CI$46=""),"",IF(CI$53="Survival",IF(ISERROR(CI$46/CI$38),"Unknown",CI$46/CI$38),IF(ISERROR(MIN(CI$46,CI$47)/CI$38),"Unknown",MIN(CI$46,CI$47)/CI$38)))</f>
        <v/>
      </c>
      <c r="CJ48" s="330"/>
      <c r="CK48" s="330"/>
      <c r="CL48" s="329" t="str">
        <f>IF(OR(CL$38="",CL$46=""),"",IF(CL$53="Survival",IF(ISERROR(CL$46/CL$38),"Unknown",CL$46/CL$38),IF(ISERROR(MIN(CL$46,CL$47)/CL$38),"Unknown",MIN(CL$46,CL$47)/CL$38)))</f>
        <v/>
      </c>
      <c r="CM48" s="330"/>
      <c r="CN48" s="330"/>
      <c r="CO48" s="329" t="str">
        <f>IF(OR(CO$38="",CO$46=""),"",IF(CO$53="Survival",IF(ISERROR(CO$46/CO$38),"Unknown",CO$46/CO$38),IF(ISERROR(MIN(CO$46,CO$47)/CO$38),"Unknown",MIN(CO$46,CO$47)/CO$38)))</f>
        <v/>
      </c>
      <c r="CP48" s="330"/>
      <c r="CQ48" s="330"/>
    </row>
    <row r="49" spans="1:95" s="1" customFormat="1" ht="18.75" customHeight="1" x14ac:dyDescent="0.25">
      <c r="A49" s="355" t="s">
        <v>165</v>
      </c>
      <c r="B49" s="355"/>
      <c r="C49" s="355"/>
      <c r="D49" s="355"/>
      <c r="E49" s="355"/>
      <c r="F49" s="48">
        <f>IF(SUMMARY!$B$7=TRUE,IF(COUNTBLANK(F50:F51)&gt;0,0,1),"")</f>
        <v>1</v>
      </c>
      <c r="G49" s="49"/>
      <c r="H49" s="49"/>
      <c r="I49" s="50">
        <f>IF(SUMMARY!$B$8=TRUE,IF(COUNTBLANK(I50:I51)&gt;0,0,1),"")</f>
        <v>1</v>
      </c>
      <c r="J49" s="49"/>
      <c r="K49" s="49"/>
      <c r="L49" s="50">
        <f>IF(SUMMARY!$B$9=TRUE,IF(COUNTBLANK(L50:L51)&gt;0,0,1),"")</f>
        <v>1</v>
      </c>
      <c r="M49" s="49"/>
      <c r="N49" s="49"/>
      <c r="O49" s="50">
        <f>IF(SUMMARY!$B$10=TRUE,IF(COUNTBLANK(O50:O51)&gt;0,0,1),"")</f>
        <v>1</v>
      </c>
      <c r="P49" s="49"/>
      <c r="Q49" s="49"/>
      <c r="R49" s="50">
        <f>IF(SUMMARY!$B$11=TRUE,IF(COUNTBLANK(R50:R51)&gt;0,0,1),"")</f>
        <v>1</v>
      </c>
      <c r="S49" s="49"/>
      <c r="T49" s="49"/>
      <c r="U49" s="50">
        <f>IF(SUMMARY!$B$12=TRUE,IF(COUNTBLANK(U50:U51)&gt;0,0,1),"")</f>
        <v>1</v>
      </c>
      <c r="V49" s="49"/>
      <c r="W49" s="49"/>
      <c r="X49" s="50">
        <f>IF(SUMMARY!$B$13=TRUE,IF(COUNTBLANK(X50:X51)&gt;0,0,1),"")</f>
        <v>1</v>
      </c>
      <c r="Y49" s="49"/>
      <c r="Z49" s="49"/>
      <c r="AA49" s="50">
        <f>IF(SUMMARY!$B$14=TRUE,IF(COUNTBLANK(AA50:AA51)&gt;0,0,1),"")</f>
        <v>1</v>
      </c>
      <c r="AB49" s="49"/>
      <c r="AC49" s="49"/>
      <c r="AD49" s="50">
        <f>IF(SUMMARY!$B$15=TRUE,IF(COUNTBLANK(AD50:AD51)&gt;0,0,1),"")</f>
        <v>1</v>
      </c>
      <c r="AE49" s="49"/>
      <c r="AF49" s="49"/>
      <c r="AG49" s="50">
        <f>IF(SUMMARY!$B$16=TRUE,IF(COUNTBLANK(AG50:AG51)&gt;0,0,1),"")</f>
        <v>1</v>
      </c>
      <c r="AH49" s="49"/>
      <c r="AI49" s="49"/>
      <c r="AJ49" s="50">
        <f>IF(SUMMARY!$B$17=TRUE,IF(COUNTBLANK(AJ50:AJ51)&gt;0,0,1),"")</f>
        <v>1</v>
      </c>
      <c r="AK49" s="49"/>
      <c r="AL49" s="49"/>
      <c r="AM49" s="50">
        <f>IF(SUMMARY!$B$18=TRUE,IF(COUNTBLANK(AM50:AM51)&gt;0,0,1),"")</f>
        <v>0</v>
      </c>
      <c r="AN49" s="49"/>
      <c r="AO49" s="49"/>
      <c r="AP49" s="50">
        <f>IF(SUMMARY!$B$19=TRUE,IF(COUNTBLANK(AP50:AP51)&gt;0,0,1),"")</f>
        <v>0</v>
      </c>
      <c r="AQ49" s="49"/>
      <c r="AR49" s="49"/>
      <c r="AS49" s="50">
        <f>IF(SUMMARY!$B$20=TRUE,IF(COUNTBLANK(AS50:AS51)&gt;0,0,1),"")</f>
        <v>0</v>
      </c>
      <c r="AT49" s="49"/>
      <c r="AU49" s="49"/>
      <c r="AV49" s="50">
        <f>IF(SUMMARY!$B$21=TRUE,IF(COUNTBLANK(AV50:AV51)&gt;0,0,1),"")</f>
        <v>0</v>
      </c>
      <c r="AW49" s="49"/>
      <c r="AX49" s="49"/>
      <c r="AY49" s="50">
        <f>IF(SUMMARY!$B$22=TRUE,IF(COUNTBLANK(AY50:AY51)&gt;0,0,1),"")</f>
        <v>0</v>
      </c>
      <c r="AZ49" s="49"/>
      <c r="BA49" s="49"/>
      <c r="BB49" s="50">
        <f>IF(SUMMARY!$B$23=TRUE,IF(COUNTBLANK(BB50:BB51)&gt;0,0,1),"")</f>
        <v>0</v>
      </c>
      <c r="BC49" s="49"/>
      <c r="BD49" s="49"/>
      <c r="BE49" s="50">
        <f>IF(SUMMARY!$B$24=TRUE,IF(COUNTBLANK(BE50:BE51)&gt;0,0,1),"")</f>
        <v>0</v>
      </c>
      <c r="BF49" s="49"/>
      <c r="BG49" s="49"/>
      <c r="BH49" s="50">
        <f>IF(SUMMARY!$B$25=TRUE,IF(COUNTBLANK(BH50:BH51)&gt;0,0,1),"")</f>
        <v>0</v>
      </c>
      <c r="BI49" s="49"/>
      <c r="BJ49" s="49"/>
      <c r="BK49" s="50">
        <f>IF(SUMMARY!$B$26=TRUE,IF(COUNTBLANK(BK50:BK51)&gt;0,0,1),"")</f>
        <v>0</v>
      </c>
      <c r="BL49" s="49"/>
      <c r="BM49" s="49"/>
      <c r="BN49" s="50">
        <f>IF(SUMMARY!$B$27=TRUE,IF(COUNTBLANK(BN50:BN51)&gt;0,0,1),"")</f>
        <v>0</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35</v>
      </c>
      <c r="B50" s="69"/>
      <c r="C50" s="69" t="s">
        <v>35</v>
      </c>
      <c r="D50" s="349" t="s">
        <v>166</v>
      </c>
      <c r="E50" s="350"/>
      <c r="F50" s="314">
        <v>98</v>
      </c>
      <c r="G50" s="315"/>
      <c r="H50" s="315"/>
      <c r="I50" s="314">
        <v>22</v>
      </c>
      <c r="J50" s="315"/>
      <c r="K50" s="315"/>
      <c r="L50" s="314" t="s">
        <v>52</v>
      </c>
      <c r="M50" s="315"/>
      <c r="N50" s="315"/>
      <c r="O50" s="314" t="s">
        <v>52</v>
      </c>
      <c r="P50" s="315"/>
      <c r="Q50" s="315"/>
      <c r="R50" s="314" t="s">
        <v>52</v>
      </c>
      <c r="S50" s="315"/>
      <c r="T50" s="315"/>
      <c r="U50" s="314" t="s">
        <v>52</v>
      </c>
      <c r="V50" s="315"/>
      <c r="W50" s="315"/>
      <c r="X50" s="314" t="s">
        <v>52</v>
      </c>
      <c r="Y50" s="315"/>
      <c r="Z50" s="315"/>
      <c r="AA50" s="314">
        <v>45</v>
      </c>
      <c r="AB50" s="315"/>
      <c r="AC50" s="315"/>
      <c r="AD50" s="314" t="s">
        <v>52</v>
      </c>
      <c r="AE50" s="315"/>
      <c r="AF50" s="315"/>
      <c r="AG50" s="314">
        <v>4</v>
      </c>
      <c r="AH50" s="315"/>
      <c r="AI50" s="315"/>
      <c r="AJ50" s="314">
        <v>4</v>
      </c>
      <c r="AK50" s="315"/>
      <c r="AL50" s="315"/>
      <c r="AM50" s="314"/>
      <c r="AN50" s="315"/>
      <c r="AO50" s="315"/>
      <c r="AP50" s="314"/>
      <c r="AQ50" s="315"/>
      <c r="AR50" s="315"/>
      <c r="AS50" s="314"/>
      <c r="AT50" s="315"/>
      <c r="AU50" s="315"/>
      <c r="AV50" s="314"/>
      <c r="AW50" s="315"/>
      <c r="AX50" s="315"/>
      <c r="AY50" s="314"/>
      <c r="AZ50" s="315"/>
      <c r="BA50" s="315"/>
      <c r="BB50" s="314"/>
      <c r="BC50" s="315"/>
      <c r="BD50" s="315"/>
      <c r="BE50" s="314"/>
      <c r="BF50" s="315"/>
      <c r="BG50" s="315"/>
      <c r="BH50" s="314"/>
      <c r="BI50" s="315"/>
      <c r="BJ50" s="315"/>
      <c r="BK50" s="314"/>
      <c r="BL50" s="315"/>
      <c r="BM50" s="315"/>
      <c r="BN50" s="314"/>
      <c r="BO50" s="315"/>
      <c r="BP50" s="315"/>
      <c r="BQ50" s="314"/>
      <c r="BR50" s="315"/>
      <c r="BS50" s="315"/>
      <c r="BT50" s="314"/>
      <c r="BU50" s="315"/>
      <c r="BV50" s="315"/>
      <c r="BW50" s="314"/>
      <c r="BX50" s="315"/>
      <c r="BY50" s="315"/>
      <c r="BZ50" s="314"/>
      <c r="CA50" s="315"/>
      <c r="CB50" s="315"/>
      <c r="CC50" s="314"/>
      <c r="CD50" s="315"/>
      <c r="CE50" s="315"/>
      <c r="CF50" s="314"/>
      <c r="CG50" s="315"/>
      <c r="CH50" s="315"/>
      <c r="CI50" s="314"/>
      <c r="CJ50" s="315"/>
      <c r="CK50" s="315"/>
      <c r="CL50" s="314"/>
      <c r="CM50" s="315"/>
      <c r="CN50" s="315"/>
      <c r="CO50" s="314"/>
      <c r="CP50" s="315"/>
      <c r="CQ50" s="315"/>
    </row>
    <row r="51" spans="1:95" s="13" customFormat="1" ht="15" customHeight="1" x14ac:dyDescent="0.25">
      <c r="A51" s="58"/>
      <c r="B51" s="58"/>
      <c r="C51" s="58" t="s">
        <v>35</v>
      </c>
      <c r="D51" s="351" t="s">
        <v>167</v>
      </c>
      <c r="E51" s="352"/>
      <c r="F51" s="310" t="s">
        <v>52</v>
      </c>
      <c r="G51" s="311"/>
      <c r="H51" s="311"/>
      <c r="I51" s="310" t="s">
        <v>52</v>
      </c>
      <c r="J51" s="311"/>
      <c r="K51" s="311"/>
      <c r="L51" s="310" t="s">
        <v>52</v>
      </c>
      <c r="M51" s="311"/>
      <c r="N51" s="311"/>
      <c r="O51" s="310" t="s">
        <v>52</v>
      </c>
      <c r="P51" s="311"/>
      <c r="Q51" s="311"/>
      <c r="R51" s="310" t="s">
        <v>52</v>
      </c>
      <c r="S51" s="311"/>
      <c r="T51" s="311"/>
      <c r="U51" s="310" t="s">
        <v>52</v>
      </c>
      <c r="V51" s="311"/>
      <c r="W51" s="311"/>
      <c r="X51" s="310" t="s">
        <v>52</v>
      </c>
      <c r="Y51" s="311"/>
      <c r="Z51" s="311"/>
      <c r="AA51" s="310" t="s">
        <v>52</v>
      </c>
      <c r="AB51" s="311"/>
      <c r="AC51" s="311"/>
      <c r="AD51" s="310" t="s">
        <v>52</v>
      </c>
      <c r="AE51" s="311"/>
      <c r="AF51" s="311"/>
      <c r="AG51" s="310" t="s">
        <v>168</v>
      </c>
      <c r="AH51" s="311"/>
      <c r="AI51" s="311"/>
      <c r="AJ51" s="310" t="s">
        <v>168</v>
      </c>
      <c r="AK51" s="311"/>
      <c r="AL51" s="311"/>
      <c r="AM51" s="310"/>
      <c r="AN51" s="311"/>
      <c r="AO51" s="311"/>
      <c r="AP51" s="310"/>
      <c r="AQ51" s="311"/>
      <c r="AR51" s="311"/>
      <c r="AS51" s="310"/>
      <c r="AT51" s="311"/>
      <c r="AU51" s="311"/>
      <c r="AV51" s="310"/>
      <c r="AW51" s="311"/>
      <c r="AX51" s="311"/>
      <c r="AY51" s="310"/>
      <c r="AZ51" s="311"/>
      <c r="BA51" s="311"/>
      <c r="BB51" s="310"/>
      <c r="BC51" s="311"/>
      <c r="BD51" s="311"/>
      <c r="BE51" s="310"/>
      <c r="BF51" s="311"/>
      <c r="BG51" s="311"/>
      <c r="BH51" s="310"/>
      <c r="BI51" s="311"/>
      <c r="BJ51" s="311"/>
      <c r="BK51" s="310"/>
      <c r="BL51" s="311"/>
      <c r="BM51" s="311"/>
      <c r="BN51" s="310"/>
      <c r="BO51" s="311"/>
      <c r="BP51" s="311"/>
      <c r="BQ51" s="310"/>
      <c r="BR51" s="311"/>
      <c r="BS51" s="311"/>
      <c r="BT51" s="310"/>
      <c r="BU51" s="311"/>
      <c r="BV51" s="311"/>
      <c r="BW51" s="310"/>
      <c r="BX51" s="311"/>
      <c r="BY51" s="311"/>
      <c r="BZ51" s="310"/>
      <c r="CA51" s="311"/>
      <c r="CB51" s="311"/>
      <c r="CC51" s="310"/>
      <c r="CD51" s="311"/>
      <c r="CE51" s="311"/>
      <c r="CF51" s="310"/>
      <c r="CG51" s="311"/>
      <c r="CH51" s="311"/>
      <c r="CI51" s="310"/>
      <c r="CJ51" s="311"/>
      <c r="CK51" s="311"/>
      <c r="CL51" s="310"/>
      <c r="CM51" s="311"/>
      <c r="CN51" s="311"/>
      <c r="CO51" s="310"/>
      <c r="CP51" s="311"/>
      <c r="CQ51" s="311"/>
    </row>
    <row r="52" spans="1:95" s="1" customFormat="1" ht="18.75" customHeight="1" x14ac:dyDescent="0.25">
      <c r="A52" s="355" t="s">
        <v>169</v>
      </c>
      <c r="B52" s="355"/>
      <c r="C52" s="355"/>
      <c r="D52" s="355"/>
      <c r="E52" s="355"/>
      <c r="F52" s="48">
        <f>IF(SUMMARY!$B$7=TRUE,IF(COUNTBLANK(F53:F56)&gt;0,0,1),"")</f>
        <v>1</v>
      </c>
      <c r="G52" s="49"/>
      <c r="H52" s="49"/>
      <c r="I52" s="50">
        <f>IF(SUMMARY!$B$8=TRUE,IF(COUNTBLANK(I53:I56)&gt;0,0,1),"")</f>
        <v>1</v>
      </c>
      <c r="J52" s="49"/>
      <c r="K52" s="49"/>
      <c r="L52" s="50">
        <f>IF(SUMMARY!$B$9=TRUE,IF(COUNTBLANK(L53:L56)&gt;0,0,1),"")</f>
        <v>1</v>
      </c>
      <c r="M52" s="49"/>
      <c r="N52" s="49"/>
      <c r="O52" s="50">
        <f>IF(SUMMARY!$B$10=TRUE,IF(COUNTBLANK(O53:O56)&gt;0,0,1),"")</f>
        <v>1</v>
      </c>
      <c r="P52" s="49"/>
      <c r="Q52" s="49"/>
      <c r="R52" s="50">
        <f>IF(SUMMARY!$B$11=TRUE,IF(COUNTBLANK(R53:R56)&gt;0,0,1),"")</f>
        <v>1</v>
      </c>
      <c r="S52" s="49"/>
      <c r="T52" s="49"/>
      <c r="U52" s="50">
        <f>IF(SUMMARY!$B$12=TRUE,IF(COUNTBLANK(U53:U56)&gt;0,0,1),"")</f>
        <v>1</v>
      </c>
      <c r="V52" s="49"/>
      <c r="W52" s="49"/>
      <c r="X52" s="50">
        <f>IF(SUMMARY!$B$13=TRUE,IF(COUNTBLANK(X53:X56)&gt;0,0,1),"")</f>
        <v>1</v>
      </c>
      <c r="Y52" s="49"/>
      <c r="Z52" s="49"/>
      <c r="AA52" s="50">
        <f>IF(SUMMARY!$B$14=TRUE,IF(COUNTBLANK(AA53:AA56)&gt;0,0,1),"")</f>
        <v>1</v>
      </c>
      <c r="AB52" s="49"/>
      <c r="AC52" s="49"/>
      <c r="AD52" s="50">
        <f>IF(SUMMARY!$B$15=TRUE,IF(COUNTBLANK(AD53:AD56)&gt;0,0,1),"")</f>
        <v>1</v>
      </c>
      <c r="AE52" s="49"/>
      <c r="AF52" s="49"/>
      <c r="AG52" s="50">
        <f>IF(SUMMARY!$B$16=TRUE,IF(COUNTBLANK(AG53:AG56)&gt;0,0,1),"")</f>
        <v>1</v>
      </c>
      <c r="AH52" s="49"/>
      <c r="AI52" s="49"/>
      <c r="AJ52" s="50">
        <f>IF(SUMMARY!$B$17=TRUE,IF(COUNTBLANK(AJ53:AJ56)&gt;0,0,1),"")</f>
        <v>1</v>
      </c>
      <c r="AK52" s="49"/>
      <c r="AL52" s="49"/>
      <c r="AM52" s="50">
        <f>IF(SUMMARY!$B$18=TRUE,IF(COUNTBLANK(AM53:AM56)&gt;0,0,1),"")</f>
        <v>0</v>
      </c>
      <c r="AN52" s="49"/>
      <c r="AO52" s="49"/>
      <c r="AP52" s="50">
        <f>IF(SUMMARY!$B$19=TRUE,IF(COUNTBLANK(AP53:AP56)&gt;0,0,1),"")</f>
        <v>0</v>
      </c>
      <c r="AQ52" s="49"/>
      <c r="AR52" s="49"/>
      <c r="AS52" s="50">
        <f>IF(SUMMARY!$B$20=TRUE,IF(COUNTBLANK(AS53:AS56)&gt;0,0,1),"")</f>
        <v>0</v>
      </c>
      <c r="AT52" s="49"/>
      <c r="AU52" s="49"/>
      <c r="AV52" s="50">
        <f>IF(SUMMARY!$B$21=TRUE,IF(COUNTBLANK(AV53:AV56)&gt;0,0,1),"")</f>
        <v>0</v>
      </c>
      <c r="AW52" s="49"/>
      <c r="AX52" s="49"/>
      <c r="AY52" s="50">
        <f>IF(SUMMARY!$B$22=TRUE,IF(COUNTBLANK(AY53:AY56)&gt;0,0,1),"")</f>
        <v>0</v>
      </c>
      <c r="AZ52" s="49"/>
      <c r="BA52" s="49"/>
      <c r="BB52" s="50">
        <f>IF(SUMMARY!$B$23=TRUE,IF(COUNTBLANK(BB53:BB56)&gt;0,0,1),"")</f>
        <v>0</v>
      </c>
      <c r="BC52" s="49"/>
      <c r="BD52" s="49"/>
      <c r="BE52" s="50">
        <f>IF(SUMMARY!$B$24=TRUE,IF(COUNTBLANK(BE53:BE56)&gt;0,0,1),"")</f>
        <v>0</v>
      </c>
      <c r="BF52" s="49"/>
      <c r="BG52" s="49"/>
      <c r="BH52" s="50">
        <f>IF(SUMMARY!$B$25=TRUE,IF(COUNTBLANK(BH53:BH56)&gt;0,0,1),"")</f>
        <v>0</v>
      </c>
      <c r="BI52" s="49"/>
      <c r="BJ52" s="49"/>
      <c r="BK52" s="50">
        <f>IF(SUMMARY!$B$26=TRUE,IF(COUNTBLANK(BK53:BK56)&gt;0,0,1),"")</f>
        <v>0</v>
      </c>
      <c r="BL52" s="49"/>
      <c r="BM52" s="49"/>
      <c r="BN52" s="50">
        <f>IF(SUMMARY!$B$27=TRUE,IF(COUNTBLANK(BN53:BN56)&gt;0,0,1),"")</f>
        <v>0</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35</v>
      </c>
      <c r="B53" s="69"/>
      <c r="C53" s="69"/>
      <c r="D53" s="349" t="s">
        <v>170</v>
      </c>
      <c r="E53" s="350"/>
      <c r="F53" s="314" t="s">
        <v>171</v>
      </c>
      <c r="G53" s="315"/>
      <c r="H53" s="315"/>
      <c r="I53" s="314" t="s">
        <v>172</v>
      </c>
      <c r="J53" s="315"/>
      <c r="K53" s="315"/>
      <c r="L53" s="314" t="s">
        <v>172</v>
      </c>
      <c r="M53" s="315"/>
      <c r="N53" s="315"/>
      <c r="O53" s="314" t="s">
        <v>172</v>
      </c>
      <c r="P53" s="315"/>
      <c r="Q53" s="315"/>
      <c r="R53" s="314" t="s">
        <v>172</v>
      </c>
      <c r="S53" s="315"/>
      <c r="T53" s="315"/>
      <c r="U53" s="314" t="s">
        <v>172</v>
      </c>
      <c r="V53" s="315"/>
      <c r="W53" s="315"/>
      <c r="X53" s="314" t="s">
        <v>172</v>
      </c>
      <c r="Y53" s="315"/>
      <c r="Z53" s="315"/>
      <c r="AA53" s="314" t="s">
        <v>172</v>
      </c>
      <c r="AB53" s="315"/>
      <c r="AC53" s="315"/>
      <c r="AD53" s="314" t="s">
        <v>172</v>
      </c>
      <c r="AE53" s="315"/>
      <c r="AF53" s="315"/>
      <c r="AG53" s="314" t="s">
        <v>172</v>
      </c>
      <c r="AH53" s="315"/>
      <c r="AI53" s="315"/>
      <c r="AJ53" s="314" t="s">
        <v>172</v>
      </c>
      <c r="AK53" s="315"/>
      <c r="AL53" s="315"/>
      <c r="AM53" s="314"/>
      <c r="AN53" s="315"/>
      <c r="AO53" s="315"/>
      <c r="AP53" s="314"/>
      <c r="AQ53" s="315"/>
      <c r="AR53" s="315"/>
      <c r="AS53" s="314"/>
      <c r="AT53" s="315"/>
      <c r="AU53" s="315"/>
      <c r="AV53" s="314"/>
      <c r="AW53" s="315"/>
      <c r="AX53" s="315"/>
      <c r="AY53" s="314"/>
      <c r="AZ53" s="315"/>
      <c r="BA53" s="315"/>
      <c r="BB53" s="314"/>
      <c r="BC53" s="315"/>
      <c r="BD53" s="315"/>
      <c r="BE53" s="314"/>
      <c r="BF53" s="315"/>
      <c r="BG53" s="315"/>
      <c r="BH53" s="314"/>
      <c r="BI53" s="315"/>
      <c r="BJ53" s="315"/>
      <c r="BK53" s="314"/>
      <c r="BL53" s="315"/>
      <c r="BM53" s="315"/>
      <c r="BN53" s="314"/>
      <c r="BO53" s="315"/>
      <c r="BP53" s="315"/>
      <c r="BQ53" s="314"/>
      <c r="BR53" s="315"/>
      <c r="BS53" s="315"/>
      <c r="BT53" s="314"/>
      <c r="BU53" s="315"/>
      <c r="BV53" s="315"/>
      <c r="BW53" s="314"/>
      <c r="BX53" s="315"/>
      <c r="BY53" s="315"/>
      <c r="BZ53" s="314"/>
      <c r="CA53" s="315"/>
      <c r="CB53" s="315"/>
      <c r="CC53" s="314"/>
      <c r="CD53" s="315"/>
      <c r="CE53" s="315"/>
      <c r="CF53" s="314"/>
      <c r="CG53" s="315"/>
      <c r="CH53" s="315"/>
      <c r="CI53" s="314"/>
      <c r="CJ53" s="315"/>
      <c r="CK53" s="315"/>
      <c r="CL53" s="314"/>
      <c r="CM53" s="315"/>
      <c r="CN53" s="315"/>
      <c r="CO53" s="314"/>
      <c r="CP53" s="315"/>
      <c r="CQ53" s="315"/>
    </row>
    <row r="54" spans="1:95" s="13" customFormat="1" ht="15" customHeight="1" x14ac:dyDescent="0.25">
      <c r="A54" s="62"/>
      <c r="B54" s="62"/>
      <c r="C54" s="62" t="s">
        <v>35</v>
      </c>
      <c r="D54" s="347" t="s">
        <v>173</v>
      </c>
      <c r="E54" s="348"/>
      <c r="F54" s="308" t="s">
        <v>174</v>
      </c>
      <c r="G54" s="309"/>
      <c r="H54" s="309"/>
      <c r="I54" s="308" t="s">
        <v>174</v>
      </c>
      <c r="J54" s="309"/>
      <c r="K54" s="309"/>
      <c r="L54" s="308" t="s">
        <v>174</v>
      </c>
      <c r="M54" s="309"/>
      <c r="N54" s="309"/>
      <c r="O54" s="308" t="s">
        <v>174</v>
      </c>
      <c r="P54" s="309"/>
      <c r="Q54" s="309"/>
      <c r="R54" s="308" t="s">
        <v>174</v>
      </c>
      <c r="S54" s="309"/>
      <c r="T54" s="309"/>
      <c r="U54" s="308" t="s">
        <v>174</v>
      </c>
      <c r="V54" s="309"/>
      <c r="W54" s="309"/>
      <c r="X54" s="308" t="s">
        <v>174</v>
      </c>
      <c r="Y54" s="309"/>
      <c r="Z54" s="309"/>
      <c r="AA54" s="308" t="s">
        <v>174</v>
      </c>
      <c r="AB54" s="309"/>
      <c r="AC54" s="309"/>
      <c r="AD54" s="308" t="s">
        <v>175</v>
      </c>
      <c r="AE54" s="309"/>
      <c r="AF54" s="309"/>
      <c r="AG54" s="308" t="s">
        <v>176</v>
      </c>
      <c r="AH54" s="309"/>
      <c r="AI54" s="309"/>
      <c r="AJ54" s="308" t="s">
        <v>176</v>
      </c>
      <c r="AK54" s="309"/>
      <c r="AL54" s="309"/>
      <c r="AM54" s="308"/>
      <c r="AN54" s="309"/>
      <c r="AO54" s="309"/>
      <c r="AP54" s="308"/>
      <c r="AQ54" s="309"/>
      <c r="AR54" s="309"/>
      <c r="AS54" s="308"/>
      <c r="AT54" s="309"/>
      <c r="AU54" s="309"/>
      <c r="AV54" s="308"/>
      <c r="AW54" s="309"/>
      <c r="AX54" s="309"/>
      <c r="AY54" s="308"/>
      <c r="AZ54" s="309"/>
      <c r="BA54" s="309"/>
      <c r="BB54" s="308"/>
      <c r="BC54" s="309"/>
      <c r="BD54" s="309"/>
      <c r="BE54" s="308"/>
      <c r="BF54" s="309"/>
      <c r="BG54" s="309"/>
      <c r="BH54" s="308"/>
      <c r="BI54" s="309"/>
      <c r="BJ54" s="309"/>
      <c r="BK54" s="308"/>
      <c r="BL54" s="309"/>
      <c r="BM54" s="309"/>
      <c r="BN54" s="308"/>
      <c r="BO54" s="309"/>
      <c r="BP54" s="309"/>
      <c r="BQ54" s="308"/>
      <c r="BR54" s="309"/>
      <c r="BS54" s="309"/>
      <c r="BT54" s="308"/>
      <c r="BU54" s="309"/>
      <c r="BV54" s="309"/>
      <c r="BW54" s="308"/>
      <c r="BX54" s="309"/>
      <c r="BY54" s="309"/>
      <c r="BZ54" s="308"/>
      <c r="CA54" s="309"/>
      <c r="CB54" s="309"/>
      <c r="CC54" s="308"/>
      <c r="CD54" s="309"/>
      <c r="CE54" s="309"/>
      <c r="CF54" s="308"/>
      <c r="CG54" s="309"/>
      <c r="CH54" s="309"/>
      <c r="CI54" s="308"/>
      <c r="CJ54" s="309"/>
      <c r="CK54" s="309"/>
      <c r="CL54" s="308"/>
      <c r="CM54" s="309"/>
      <c r="CN54" s="309"/>
      <c r="CO54" s="308"/>
      <c r="CP54" s="309"/>
      <c r="CQ54" s="309"/>
    </row>
    <row r="55" spans="1:95" s="13" customFormat="1" ht="15" customHeight="1" x14ac:dyDescent="0.25">
      <c r="A55" s="62"/>
      <c r="B55" s="62"/>
      <c r="C55" s="62" t="s">
        <v>35</v>
      </c>
      <c r="D55" s="347" t="s">
        <v>177</v>
      </c>
      <c r="E55" s="348"/>
      <c r="F55" s="308" t="s">
        <v>52</v>
      </c>
      <c r="G55" s="309"/>
      <c r="H55" s="309"/>
      <c r="I55" s="308" t="s">
        <v>52</v>
      </c>
      <c r="J55" s="309"/>
      <c r="K55" s="309"/>
      <c r="L55" s="308" t="s">
        <v>178</v>
      </c>
      <c r="M55" s="309"/>
      <c r="N55" s="309"/>
      <c r="O55" s="308" t="s">
        <v>52</v>
      </c>
      <c r="P55" s="309"/>
      <c r="Q55" s="309"/>
      <c r="R55" s="308" t="s">
        <v>179</v>
      </c>
      <c r="S55" s="309"/>
      <c r="T55" s="309"/>
      <c r="U55" s="308" t="s">
        <v>179</v>
      </c>
      <c r="V55" s="309"/>
      <c r="W55" s="309"/>
      <c r="X55" s="308" t="s">
        <v>52</v>
      </c>
      <c r="Y55" s="309"/>
      <c r="Z55" s="309"/>
      <c r="AA55" s="308" t="s">
        <v>179</v>
      </c>
      <c r="AB55" s="309"/>
      <c r="AC55" s="309"/>
      <c r="AD55" s="308" t="s">
        <v>178</v>
      </c>
      <c r="AE55" s="309"/>
      <c r="AF55" s="309"/>
      <c r="AG55" s="308" t="s">
        <v>180</v>
      </c>
      <c r="AH55" s="309"/>
      <c r="AI55" s="309"/>
      <c r="AJ55" s="308" t="s">
        <v>180</v>
      </c>
      <c r="AK55" s="309"/>
      <c r="AL55" s="309"/>
      <c r="AM55" s="308"/>
      <c r="AN55" s="309"/>
      <c r="AO55" s="309"/>
      <c r="AP55" s="308"/>
      <c r="AQ55" s="309"/>
      <c r="AR55" s="309"/>
      <c r="AS55" s="308"/>
      <c r="AT55" s="309"/>
      <c r="AU55" s="309"/>
      <c r="AV55" s="308"/>
      <c r="AW55" s="309"/>
      <c r="AX55" s="309"/>
      <c r="AY55" s="308"/>
      <c r="AZ55" s="309"/>
      <c r="BA55" s="309"/>
      <c r="BB55" s="308"/>
      <c r="BC55" s="309"/>
      <c r="BD55" s="309"/>
      <c r="BE55" s="308"/>
      <c r="BF55" s="309"/>
      <c r="BG55" s="309"/>
      <c r="BH55" s="308"/>
      <c r="BI55" s="309"/>
      <c r="BJ55" s="309"/>
      <c r="BK55" s="308"/>
      <c r="BL55" s="309"/>
      <c r="BM55" s="309"/>
      <c r="BN55" s="308"/>
      <c r="BO55" s="309"/>
      <c r="BP55" s="309"/>
      <c r="BQ55" s="308"/>
      <c r="BR55" s="309"/>
      <c r="BS55" s="309"/>
      <c r="BT55" s="308"/>
      <c r="BU55" s="309"/>
      <c r="BV55" s="309"/>
      <c r="BW55" s="308"/>
      <c r="BX55" s="309"/>
      <c r="BY55" s="309"/>
      <c r="BZ55" s="308"/>
      <c r="CA55" s="309"/>
      <c r="CB55" s="309"/>
      <c r="CC55" s="308"/>
      <c r="CD55" s="309"/>
      <c r="CE55" s="309"/>
      <c r="CF55" s="308"/>
      <c r="CG55" s="309"/>
      <c r="CH55" s="309"/>
      <c r="CI55" s="308"/>
      <c r="CJ55" s="309"/>
      <c r="CK55" s="309"/>
      <c r="CL55" s="308"/>
      <c r="CM55" s="309"/>
      <c r="CN55" s="309"/>
      <c r="CO55" s="308"/>
      <c r="CP55" s="309"/>
      <c r="CQ55" s="309"/>
    </row>
    <row r="56" spans="1:95" s="13" customFormat="1" ht="15" customHeight="1" x14ac:dyDescent="0.25">
      <c r="A56" s="58"/>
      <c r="B56" s="58" t="s">
        <v>35</v>
      </c>
      <c r="C56" s="58" t="s">
        <v>35</v>
      </c>
      <c r="D56" s="351" t="s">
        <v>181</v>
      </c>
      <c r="E56" s="352"/>
      <c r="F56" s="310" t="s">
        <v>141</v>
      </c>
      <c r="G56" s="311"/>
      <c r="H56" s="311"/>
      <c r="I56" s="310" t="s">
        <v>141</v>
      </c>
      <c r="J56" s="311"/>
      <c r="K56" s="311"/>
      <c r="L56" s="310" t="s">
        <v>141</v>
      </c>
      <c r="M56" s="311"/>
      <c r="N56" s="311"/>
      <c r="O56" s="310" t="s">
        <v>141</v>
      </c>
      <c r="P56" s="311"/>
      <c r="Q56" s="311"/>
      <c r="R56" s="310" t="s">
        <v>141</v>
      </c>
      <c r="S56" s="311"/>
      <c r="T56" s="311"/>
      <c r="U56" s="310" t="s">
        <v>141</v>
      </c>
      <c r="V56" s="311"/>
      <c r="W56" s="311"/>
      <c r="X56" s="310" t="s">
        <v>141</v>
      </c>
      <c r="Y56" s="311"/>
      <c r="Z56" s="311"/>
      <c r="AA56" s="310" t="s">
        <v>141</v>
      </c>
      <c r="AB56" s="311"/>
      <c r="AC56" s="311"/>
      <c r="AD56" s="310" t="s">
        <v>141</v>
      </c>
      <c r="AE56" s="311"/>
      <c r="AF56" s="311"/>
      <c r="AG56" s="310" t="s">
        <v>141</v>
      </c>
      <c r="AH56" s="311"/>
      <c r="AI56" s="311"/>
      <c r="AJ56" s="310" t="s">
        <v>141</v>
      </c>
      <c r="AK56" s="311"/>
      <c r="AL56" s="311"/>
      <c r="AM56" s="310"/>
      <c r="AN56" s="311"/>
      <c r="AO56" s="311"/>
      <c r="AP56" s="310"/>
      <c r="AQ56" s="311"/>
      <c r="AR56" s="311"/>
      <c r="AS56" s="310"/>
      <c r="AT56" s="311"/>
      <c r="AU56" s="311"/>
      <c r="AV56" s="310"/>
      <c r="AW56" s="311"/>
      <c r="AX56" s="311"/>
      <c r="AY56" s="310"/>
      <c r="AZ56" s="311"/>
      <c r="BA56" s="311"/>
      <c r="BB56" s="310"/>
      <c r="BC56" s="311"/>
      <c r="BD56" s="311"/>
      <c r="BE56" s="310"/>
      <c r="BF56" s="311"/>
      <c r="BG56" s="311"/>
      <c r="BH56" s="310"/>
      <c r="BI56" s="311"/>
      <c r="BJ56" s="311"/>
      <c r="BK56" s="310"/>
      <c r="BL56" s="311"/>
      <c r="BM56" s="311"/>
      <c r="BN56" s="310"/>
      <c r="BO56" s="311"/>
      <c r="BP56" s="311"/>
      <c r="BQ56" s="310"/>
      <c r="BR56" s="311"/>
      <c r="BS56" s="311"/>
      <c r="BT56" s="310"/>
      <c r="BU56" s="311"/>
      <c r="BV56" s="311"/>
      <c r="BW56" s="310"/>
      <c r="BX56" s="311"/>
      <c r="BY56" s="311"/>
      <c r="BZ56" s="310"/>
      <c r="CA56" s="311"/>
      <c r="CB56" s="311"/>
      <c r="CC56" s="310"/>
      <c r="CD56" s="311"/>
      <c r="CE56" s="311"/>
      <c r="CF56" s="310"/>
      <c r="CG56" s="311"/>
      <c r="CH56" s="311"/>
      <c r="CI56" s="310"/>
      <c r="CJ56" s="311"/>
      <c r="CK56" s="311"/>
      <c r="CL56" s="310"/>
      <c r="CM56" s="311"/>
      <c r="CN56" s="311"/>
      <c r="CO56" s="310"/>
      <c r="CP56" s="311"/>
      <c r="CQ56" s="311"/>
    </row>
    <row r="57" spans="1:95" s="1" customFormat="1" ht="18.75" customHeight="1" x14ac:dyDescent="0.25">
      <c r="A57" s="355" t="s">
        <v>182</v>
      </c>
      <c r="B57" s="355"/>
      <c r="C57" s="355"/>
      <c r="D57" s="355"/>
      <c r="E57" s="355"/>
      <c r="F57" s="48">
        <f>IF(SUMMARY!$B$7=TRUE,IF(COUNTBLANK(F58)+COUNTBLANK(F64)+COUNTBLANK(F71)&gt;0,0,1),"")</f>
        <v>1</v>
      </c>
      <c r="G57" s="49"/>
      <c r="H57" s="49"/>
      <c r="I57" s="50">
        <f>IF(SUMMARY!$B$8=TRUE,IF(COUNTBLANK(I58)+COUNTBLANK(I64)+COUNTBLANK(I71)&gt;0,0,1),"")</f>
        <v>1</v>
      </c>
      <c r="J57" s="49"/>
      <c r="K57" s="49"/>
      <c r="L57" s="50">
        <f>IF(SUMMARY!$B$9=TRUE,IF(COUNTBLANK(L58)+COUNTBLANK(L64)+COUNTBLANK(L71)&gt;0,0,1),"")</f>
        <v>1</v>
      </c>
      <c r="M57" s="49"/>
      <c r="N57" s="49"/>
      <c r="O57" s="50">
        <f>IF(SUMMARY!$B$10=TRUE,IF(COUNTBLANK(O58)+COUNTBLANK(O64)+COUNTBLANK(O71)&gt;0,0,1),"")</f>
        <v>1</v>
      </c>
      <c r="P57" s="49"/>
      <c r="Q57" s="49"/>
      <c r="R57" s="50">
        <f>IF(SUMMARY!$B$11=TRUE,IF(COUNTBLANK(R58)+COUNTBLANK(R64)+COUNTBLANK(R71)&gt;0,0,1),"")</f>
        <v>1</v>
      </c>
      <c r="S57" s="49"/>
      <c r="T57" s="49"/>
      <c r="U57" s="50">
        <f>IF(SUMMARY!$B$12=TRUE,IF(COUNTBLANK(U58)+COUNTBLANK(U64)+COUNTBLANK(U71)&gt;0,0,1),"")</f>
        <v>1</v>
      </c>
      <c r="V57" s="49"/>
      <c r="W57" s="49"/>
      <c r="X57" s="50">
        <f>IF(SUMMARY!$B$13=TRUE,IF(COUNTBLANK(X58)+COUNTBLANK(X64)+COUNTBLANK(X71)&gt;0,0,1),"")</f>
        <v>1</v>
      </c>
      <c r="Y57" s="49"/>
      <c r="Z57" s="49"/>
      <c r="AA57" s="50">
        <f>IF(SUMMARY!$B$14=TRUE,IF(COUNTBLANK(AA58)+COUNTBLANK(AA64)+COUNTBLANK(AA71)&gt;0,0,1),"")</f>
        <v>1</v>
      </c>
      <c r="AB57" s="49"/>
      <c r="AC57" s="49"/>
      <c r="AD57" s="50">
        <f>IF(SUMMARY!$B$15=TRUE,IF(COUNTBLANK(AD58)+COUNTBLANK(AD64)+COUNTBLANK(AD71)&gt;0,0,1),"")</f>
        <v>1</v>
      </c>
      <c r="AE57" s="49"/>
      <c r="AF57" s="49"/>
      <c r="AG57" s="50">
        <f>IF(SUMMARY!$B$16=TRUE,IF(COUNTBLANK(AG58)+COUNTBLANK(AG64)+COUNTBLANK(AG71)&gt;0,0,1),"")</f>
        <v>1</v>
      </c>
      <c r="AH57" s="49"/>
      <c r="AI57" s="49"/>
      <c r="AJ57" s="50">
        <f>IF(SUMMARY!$B$17=TRUE,IF(COUNTBLANK(AJ58)+COUNTBLANK(AJ64)+COUNTBLANK(AJ71)&gt;0,0,1),"")</f>
        <v>1</v>
      </c>
      <c r="AK57" s="49"/>
      <c r="AL57" s="49"/>
      <c r="AM57" s="50">
        <f>IF(SUMMARY!$B$18=TRUE,IF(COUNTBLANK(AM58)+COUNTBLANK(AM64)+COUNTBLANK(AM71)&gt;0,0,1),"")</f>
        <v>0</v>
      </c>
      <c r="AN57" s="49"/>
      <c r="AO57" s="49"/>
      <c r="AP57" s="50">
        <f>IF(SUMMARY!$B$19=TRUE,IF(COUNTBLANK(AP58)+COUNTBLANK(AP64)+COUNTBLANK(AP71)&gt;0,0,1),"")</f>
        <v>0</v>
      </c>
      <c r="AQ57" s="49"/>
      <c r="AR57" s="49"/>
      <c r="AS57" s="50">
        <f>IF(SUMMARY!$B$20=TRUE,IF(COUNTBLANK(AS58)+COUNTBLANK(AS64)+COUNTBLANK(AS71)&gt;0,0,1),"")</f>
        <v>0</v>
      </c>
      <c r="AT57" s="49"/>
      <c r="AU57" s="49"/>
      <c r="AV57" s="50">
        <f>IF(SUMMARY!$B$21=TRUE,IF(COUNTBLANK(AV58)+COUNTBLANK(AV64)+COUNTBLANK(AV71)&gt;0,0,1),"")</f>
        <v>0</v>
      </c>
      <c r="AW57" s="49"/>
      <c r="AX57" s="49"/>
      <c r="AY57" s="50">
        <f>IF(SUMMARY!$B$22=TRUE,IF(COUNTBLANK(AY58)+COUNTBLANK(AY64)+COUNTBLANK(AY71)&gt;0,0,1),"")</f>
        <v>0</v>
      </c>
      <c r="AZ57" s="49"/>
      <c r="BA57" s="49"/>
      <c r="BB57" s="50">
        <f>IF(SUMMARY!$B$23=TRUE,IF(COUNTBLANK(BB58)+COUNTBLANK(BB64)+COUNTBLANK(BB71)&gt;0,0,1),"")</f>
        <v>0</v>
      </c>
      <c r="BC57" s="49"/>
      <c r="BD57" s="49"/>
      <c r="BE57" s="50">
        <f>IF(SUMMARY!$B$24=TRUE,IF(COUNTBLANK(BE58)+COUNTBLANK(BE64)+COUNTBLANK(BE71)&gt;0,0,1),"")</f>
        <v>0</v>
      </c>
      <c r="BF57" s="49"/>
      <c r="BG57" s="49"/>
      <c r="BH57" s="50">
        <f>IF(SUMMARY!$B$25=TRUE,IF(COUNTBLANK(BH58)+COUNTBLANK(BH64)+COUNTBLANK(BH71)&gt;0,0,1),"")</f>
        <v>0</v>
      </c>
      <c r="BI57" s="49"/>
      <c r="BJ57" s="49"/>
      <c r="BK57" s="50">
        <f>IF(SUMMARY!$B$26=TRUE,IF(COUNTBLANK(BK58)+COUNTBLANK(BK64)+COUNTBLANK(BK71)&gt;0,0,1),"")</f>
        <v>0</v>
      </c>
      <c r="BL57" s="49"/>
      <c r="BM57" s="49"/>
      <c r="BN57" s="50">
        <f>IF(SUMMARY!$B$27=TRUE,IF(COUNTBLANK(BN58)+COUNTBLANK(BN64)+COUNTBLANK(BN71)&gt;0,0,1),"")</f>
        <v>0</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35</v>
      </c>
      <c r="C58" s="69"/>
      <c r="D58" s="349" t="s">
        <v>183</v>
      </c>
      <c r="E58" s="350"/>
      <c r="F58" s="325"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xml:space="preserve">Calibration plot </v>
      </c>
      <c r="G58" s="326"/>
      <c r="H58" s="326"/>
      <c r="I58" s="325"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xml:space="preserve">HL test </v>
      </c>
      <c r="J58" s="326"/>
      <c r="K58" s="326"/>
      <c r="L58" s="325"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xml:space="preserve">HL test </v>
      </c>
      <c r="M58" s="326"/>
      <c r="N58" s="326"/>
      <c r="O58" s="325"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xml:space="preserve">Calibration plot / Slope / CITL / HL test </v>
      </c>
      <c r="P58" s="326"/>
      <c r="Q58" s="326"/>
      <c r="R58" s="325"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xml:space="preserve">HL test </v>
      </c>
      <c r="S58" s="326"/>
      <c r="T58" s="326"/>
      <c r="U58" s="325"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xml:space="preserve">HL test </v>
      </c>
      <c r="V58" s="326"/>
      <c r="W58" s="326"/>
      <c r="X58" s="325"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Comparison of actual CITL and slope with the ideal values</v>
      </c>
      <c r="Y58" s="326"/>
      <c r="Z58" s="326"/>
      <c r="AA58" s="325"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xml:space="preserve">HL test </v>
      </c>
      <c r="AB58" s="326"/>
      <c r="AC58" s="326"/>
      <c r="AD58" s="325"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xml:space="preserve">Calibration plot / HL test </v>
      </c>
      <c r="AE58" s="326"/>
      <c r="AF58" s="326"/>
      <c r="AG58" s="325"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xml:space="preserve">Calibration plot / Slope / CITL </v>
      </c>
      <c r="AH58" s="326"/>
      <c r="AI58" s="326"/>
      <c r="AJ58" s="325"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xml:space="preserve">Calibration plot / Slope / CITL </v>
      </c>
      <c r="AK58" s="326"/>
      <c r="AL58" s="326"/>
      <c r="AM58" s="325"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26"/>
      <c r="AO58" s="326"/>
      <c r="AP58" s="325"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26"/>
      <c r="AR58" s="326"/>
      <c r="AS58" s="325"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26"/>
      <c r="AU58" s="326"/>
      <c r="AV58" s="325"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26"/>
      <c r="AX58" s="326"/>
      <c r="AY58" s="325"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26"/>
      <c r="BA58" s="326"/>
      <c r="BB58" s="325"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26"/>
      <c r="BD58" s="326"/>
      <c r="BE58" s="325"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26"/>
      <c r="BG58" s="326"/>
      <c r="BH58" s="325"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26"/>
      <c r="BJ58" s="326"/>
      <c r="BK58" s="325"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26"/>
      <c r="BM58" s="326"/>
      <c r="BN58" s="325"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26"/>
      <c r="BP58" s="326"/>
      <c r="BQ58" s="325"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26"/>
      <c r="BS58" s="326"/>
      <c r="BT58" s="325"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26"/>
      <c r="BV58" s="326"/>
      <c r="BW58" s="325"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26"/>
      <c r="BY58" s="326"/>
      <c r="BZ58" s="325"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26"/>
      <c r="CB58" s="326"/>
      <c r="CC58" s="325"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26"/>
      <c r="CE58" s="326"/>
      <c r="CF58" s="325"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26"/>
      <c r="CH58" s="326"/>
      <c r="CI58" s="325"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26"/>
      <c r="CK58" s="326"/>
      <c r="CL58" s="325"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26"/>
      <c r="CN58" s="326"/>
      <c r="CO58" s="325"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26"/>
      <c r="CQ58" s="326"/>
    </row>
    <row r="59" spans="1:95" s="13" customFormat="1" ht="15" customHeight="1" x14ac:dyDescent="0.25">
      <c r="A59" s="62"/>
      <c r="B59" s="62" t="s">
        <v>35</v>
      </c>
      <c r="C59" s="62"/>
      <c r="D59" s="361" t="s">
        <v>184</v>
      </c>
      <c r="E59" s="362"/>
      <c r="F59" s="308" t="s">
        <v>136</v>
      </c>
      <c r="G59" s="309"/>
      <c r="H59" s="309"/>
      <c r="I59" s="312" t="s">
        <v>141</v>
      </c>
      <c r="J59" s="313"/>
      <c r="K59" s="342"/>
      <c r="L59" s="312" t="s">
        <v>141</v>
      </c>
      <c r="M59" s="313"/>
      <c r="N59" s="342"/>
      <c r="O59" s="312" t="s">
        <v>136</v>
      </c>
      <c r="P59" s="313"/>
      <c r="Q59" s="342"/>
      <c r="R59" s="312" t="s">
        <v>141</v>
      </c>
      <c r="S59" s="313"/>
      <c r="T59" s="342"/>
      <c r="U59" s="312" t="s">
        <v>141</v>
      </c>
      <c r="V59" s="313"/>
      <c r="W59" s="342"/>
      <c r="X59" s="312" t="s">
        <v>141</v>
      </c>
      <c r="Y59" s="313"/>
      <c r="Z59" s="342"/>
      <c r="AA59" s="312" t="s">
        <v>141</v>
      </c>
      <c r="AB59" s="313"/>
      <c r="AC59" s="342"/>
      <c r="AD59" s="312" t="s">
        <v>136</v>
      </c>
      <c r="AE59" s="313"/>
      <c r="AF59" s="342"/>
      <c r="AG59" s="312" t="s">
        <v>136</v>
      </c>
      <c r="AH59" s="313"/>
      <c r="AI59" s="342"/>
      <c r="AJ59" s="312" t="s">
        <v>136</v>
      </c>
      <c r="AK59" s="313"/>
      <c r="AL59" s="342"/>
      <c r="AM59" s="312"/>
      <c r="AN59" s="313"/>
      <c r="AO59" s="342"/>
      <c r="AP59" s="312"/>
      <c r="AQ59" s="313"/>
      <c r="AR59" s="342"/>
      <c r="AS59" s="312"/>
      <c r="AT59" s="313"/>
      <c r="AU59" s="342"/>
      <c r="AV59" s="312"/>
      <c r="AW59" s="313"/>
      <c r="AX59" s="342"/>
      <c r="AY59" s="312"/>
      <c r="AZ59" s="313"/>
      <c r="BA59" s="342"/>
      <c r="BB59" s="312"/>
      <c r="BC59" s="313"/>
      <c r="BD59" s="342"/>
      <c r="BE59" s="312"/>
      <c r="BF59" s="313"/>
      <c r="BG59" s="342"/>
      <c r="BH59" s="312"/>
      <c r="BI59" s="313"/>
      <c r="BJ59" s="342"/>
      <c r="BK59" s="312"/>
      <c r="BL59" s="313"/>
      <c r="BM59" s="342"/>
      <c r="BN59" s="312"/>
      <c r="BO59" s="313"/>
      <c r="BP59" s="342"/>
      <c r="BQ59" s="312"/>
      <c r="BR59" s="313"/>
      <c r="BS59" s="342"/>
      <c r="BT59" s="312"/>
      <c r="BU59" s="313"/>
      <c r="BV59" s="342"/>
      <c r="BW59" s="312"/>
      <c r="BX59" s="313"/>
      <c r="BY59" s="342"/>
      <c r="BZ59" s="312"/>
      <c r="CA59" s="313"/>
      <c r="CB59" s="342"/>
      <c r="CC59" s="312"/>
      <c r="CD59" s="313"/>
      <c r="CE59" s="342"/>
      <c r="CF59" s="312"/>
      <c r="CG59" s="313"/>
      <c r="CH59" s="342"/>
      <c r="CI59" s="312"/>
      <c r="CJ59" s="313"/>
      <c r="CK59" s="342"/>
      <c r="CL59" s="312"/>
      <c r="CM59" s="313"/>
      <c r="CN59" s="342"/>
      <c r="CO59" s="312"/>
      <c r="CP59" s="313"/>
      <c r="CQ59" s="313"/>
    </row>
    <row r="60" spans="1:95" s="13" customFormat="1" ht="15" customHeight="1" x14ac:dyDescent="0.25">
      <c r="A60" s="62"/>
      <c r="B60" s="62" t="s">
        <v>35</v>
      </c>
      <c r="C60" s="62"/>
      <c r="D60" s="361" t="s">
        <v>185</v>
      </c>
      <c r="E60" s="365"/>
      <c r="F60" s="38" t="s">
        <v>141</v>
      </c>
      <c r="G60" s="52" t="s">
        <v>186</v>
      </c>
      <c r="H60" s="46"/>
      <c r="I60" s="38" t="s">
        <v>141</v>
      </c>
      <c r="J60" s="52" t="s">
        <v>186</v>
      </c>
      <c r="K60" s="46"/>
      <c r="L60" s="38" t="s">
        <v>141</v>
      </c>
      <c r="M60" s="52" t="s">
        <v>186</v>
      </c>
      <c r="N60" s="46"/>
      <c r="O60" s="38" t="s">
        <v>136</v>
      </c>
      <c r="P60" s="52" t="s">
        <v>186</v>
      </c>
      <c r="Q60" s="46">
        <v>0.8</v>
      </c>
      <c r="R60" s="38" t="s">
        <v>141</v>
      </c>
      <c r="S60" s="52" t="s">
        <v>186</v>
      </c>
      <c r="T60" s="46"/>
      <c r="U60" s="38" t="s">
        <v>141</v>
      </c>
      <c r="V60" s="52" t="s">
        <v>186</v>
      </c>
      <c r="W60" s="46"/>
      <c r="X60" s="38" t="s">
        <v>141</v>
      </c>
      <c r="Y60" s="52" t="s">
        <v>186</v>
      </c>
      <c r="Z60" s="46"/>
      <c r="AA60" s="38" t="s">
        <v>141</v>
      </c>
      <c r="AB60" s="52" t="s">
        <v>186</v>
      </c>
      <c r="AC60" s="46"/>
      <c r="AD60" s="38" t="s">
        <v>141</v>
      </c>
      <c r="AE60" s="52" t="s">
        <v>186</v>
      </c>
      <c r="AF60" s="46"/>
      <c r="AG60" s="38" t="s">
        <v>136</v>
      </c>
      <c r="AH60" s="52" t="s">
        <v>186</v>
      </c>
      <c r="AI60" s="46" t="s">
        <v>187</v>
      </c>
      <c r="AJ60" s="38" t="s">
        <v>136</v>
      </c>
      <c r="AK60" s="52" t="s">
        <v>186</v>
      </c>
      <c r="AL60" s="46" t="s">
        <v>188</v>
      </c>
      <c r="AM60" s="38"/>
      <c r="AN60" s="52" t="s">
        <v>186</v>
      </c>
      <c r="AO60" s="46"/>
      <c r="AP60" s="38"/>
      <c r="AQ60" s="52" t="s">
        <v>186</v>
      </c>
      <c r="AR60" s="46"/>
      <c r="AS60" s="38"/>
      <c r="AT60" s="52" t="s">
        <v>186</v>
      </c>
      <c r="AU60" s="46"/>
      <c r="AV60" s="38"/>
      <c r="AW60" s="52" t="s">
        <v>186</v>
      </c>
      <c r="AX60" s="46"/>
      <c r="AY60" s="38"/>
      <c r="AZ60" s="52" t="s">
        <v>186</v>
      </c>
      <c r="BA60" s="46"/>
      <c r="BB60" s="38"/>
      <c r="BC60" s="52" t="s">
        <v>186</v>
      </c>
      <c r="BD60" s="46"/>
      <c r="BE60" s="38"/>
      <c r="BF60" s="52" t="s">
        <v>186</v>
      </c>
      <c r="BG60" s="46"/>
      <c r="BH60" s="38"/>
      <c r="BI60" s="52" t="s">
        <v>186</v>
      </c>
      <c r="BJ60" s="46"/>
      <c r="BK60" s="38"/>
      <c r="BL60" s="52" t="s">
        <v>186</v>
      </c>
      <c r="BM60" s="46"/>
      <c r="BN60" s="38"/>
      <c r="BO60" s="52" t="s">
        <v>186</v>
      </c>
      <c r="BP60" s="46"/>
      <c r="BQ60" s="38"/>
      <c r="BR60" s="52" t="s">
        <v>186</v>
      </c>
      <c r="BS60" s="46"/>
      <c r="BT60" s="38"/>
      <c r="BU60" s="52" t="s">
        <v>186</v>
      </c>
      <c r="BV60" s="46"/>
      <c r="BW60" s="38"/>
      <c r="BX60" s="52" t="s">
        <v>186</v>
      </c>
      <c r="BY60" s="46"/>
      <c r="BZ60" s="38"/>
      <c r="CA60" s="52" t="s">
        <v>186</v>
      </c>
      <c r="CB60" s="46"/>
      <c r="CC60" s="38"/>
      <c r="CD60" s="52" t="s">
        <v>186</v>
      </c>
      <c r="CE60" s="46"/>
      <c r="CF60" s="38"/>
      <c r="CG60" s="52" t="s">
        <v>186</v>
      </c>
      <c r="CH60" s="46"/>
      <c r="CI60" s="38"/>
      <c r="CJ60" s="52" t="s">
        <v>186</v>
      </c>
      <c r="CK60" s="46"/>
      <c r="CL60" s="38"/>
      <c r="CM60" s="52" t="s">
        <v>186</v>
      </c>
      <c r="CN60" s="46"/>
      <c r="CO60" s="37"/>
      <c r="CP60" s="52" t="s">
        <v>186</v>
      </c>
      <c r="CQ60" s="46"/>
    </row>
    <row r="61" spans="1:95" s="13" customFormat="1" ht="15" customHeight="1" x14ac:dyDescent="0.25">
      <c r="A61" s="62"/>
      <c r="B61" s="62" t="s">
        <v>35</v>
      </c>
      <c r="C61" s="62"/>
      <c r="D61" s="363" t="s">
        <v>189</v>
      </c>
      <c r="E61" s="364"/>
      <c r="F61" s="38" t="s">
        <v>141</v>
      </c>
      <c r="G61" s="52" t="s">
        <v>186</v>
      </c>
      <c r="H61" s="46"/>
      <c r="I61" s="38" t="s">
        <v>141</v>
      </c>
      <c r="J61" s="52" t="s">
        <v>186</v>
      </c>
      <c r="K61" s="46"/>
      <c r="L61" s="38" t="s">
        <v>141</v>
      </c>
      <c r="M61" s="52" t="s">
        <v>186</v>
      </c>
      <c r="N61" s="46"/>
      <c r="O61" s="38" t="s">
        <v>136</v>
      </c>
      <c r="P61" s="52" t="s">
        <v>186</v>
      </c>
      <c r="Q61" s="46">
        <v>1.9</v>
      </c>
      <c r="R61" s="38" t="s">
        <v>141</v>
      </c>
      <c r="S61" s="52" t="s">
        <v>186</v>
      </c>
      <c r="T61" s="46"/>
      <c r="U61" s="38" t="s">
        <v>141</v>
      </c>
      <c r="V61" s="52" t="s">
        <v>186</v>
      </c>
      <c r="W61" s="46"/>
      <c r="X61" s="38" t="s">
        <v>141</v>
      </c>
      <c r="Y61" s="52" t="s">
        <v>186</v>
      </c>
      <c r="Z61" s="46"/>
      <c r="AA61" s="38" t="s">
        <v>141</v>
      </c>
      <c r="AB61" s="52" t="s">
        <v>186</v>
      </c>
      <c r="AC61" s="46"/>
      <c r="AD61" s="38" t="s">
        <v>141</v>
      </c>
      <c r="AE61" s="52" t="s">
        <v>186</v>
      </c>
      <c r="AF61" s="46"/>
      <c r="AG61" s="38" t="s">
        <v>136</v>
      </c>
      <c r="AH61" s="52" t="s">
        <v>186</v>
      </c>
      <c r="AI61" s="184" t="s">
        <v>190</v>
      </c>
      <c r="AJ61" s="38" t="s">
        <v>136</v>
      </c>
      <c r="AK61" s="52" t="s">
        <v>186</v>
      </c>
      <c r="AL61" s="184" t="s">
        <v>191</v>
      </c>
      <c r="AM61" s="38"/>
      <c r="AN61" s="52" t="s">
        <v>186</v>
      </c>
      <c r="AO61" s="46"/>
      <c r="AP61" s="38"/>
      <c r="AQ61" s="52" t="s">
        <v>186</v>
      </c>
      <c r="AR61" s="46"/>
      <c r="AS61" s="38"/>
      <c r="AT61" s="52" t="s">
        <v>186</v>
      </c>
      <c r="AU61" s="46"/>
      <c r="AV61" s="38"/>
      <c r="AW61" s="52" t="s">
        <v>186</v>
      </c>
      <c r="AX61" s="46"/>
      <c r="AY61" s="38"/>
      <c r="AZ61" s="52" t="s">
        <v>186</v>
      </c>
      <c r="BA61" s="46"/>
      <c r="BB61" s="38"/>
      <c r="BC61" s="52" t="s">
        <v>186</v>
      </c>
      <c r="BD61" s="46"/>
      <c r="BE61" s="38"/>
      <c r="BF61" s="52" t="s">
        <v>186</v>
      </c>
      <c r="BG61" s="46"/>
      <c r="BH61" s="38"/>
      <c r="BI61" s="52" t="s">
        <v>186</v>
      </c>
      <c r="BJ61" s="46"/>
      <c r="BK61" s="38"/>
      <c r="BL61" s="52" t="s">
        <v>186</v>
      </c>
      <c r="BM61" s="46"/>
      <c r="BN61" s="38"/>
      <c r="BO61" s="52" t="s">
        <v>186</v>
      </c>
      <c r="BP61" s="46"/>
      <c r="BQ61" s="38"/>
      <c r="BR61" s="52" t="s">
        <v>186</v>
      </c>
      <c r="BS61" s="46"/>
      <c r="BT61" s="38"/>
      <c r="BU61" s="52" t="s">
        <v>186</v>
      </c>
      <c r="BV61" s="46"/>
      <c r="BW61" s="38"/>
      <c r="BX61" s="52" t="s">
        <v>186</v>
      </c>
      <c r="BY61" s="46"/>
      <c r="BZ61" s="38"/>
      <c r="CA61" s="52" t="s">
        <v>186</v>
      </c>
      <c r="CB61" s="46"/>
      <c r="CC61" s="38"/>
      <c r="CD61" s="52" t="s">
        <v>186</v>
      </c>
      <c r="CE61" s="46"/>
      <c r="CF61" s="38"/>
      <c r="CG61" s="52" t="s">
        <v>186</v>
      </c>
      <c r="CH61" s="46"/>
      <c r="CI61" s="38"/>
      <c r="CJ61" s="52" t="s">
        <v>186</v>
      </c>
      <c r="CK61" s="46"/>
      <c r="CL61" s="38"/>
      <c r="CM61" s="52" t="s">
        <v>186</v>
      </c>
      <c r="CN61" s="46"/>
      <c r="CO61" s="37"/>
      <c r="CP61" s="52" t="s">
        <v>186</v>
      </c>
      <c r="CQ61" s="46"/>
    </row>
    <row r="62" spans="1:95" s="13" customFormat="1" ht="15" customHeight="1" x14ac:dyDescent="0.25">
      <c r="A62" s="62"/>
      <c r="B62" s="62" t="s">
        <v>35</v>
      </c>
      <c r="C62" s="62"/>
      <c r="D62" s="368" t="s">
        <v>192</v>
      </c>
      <c r="E62" s="369"/>
      <c r="F62" s="337" t="s">
        <v>141</v>
      </c>
      <c r="G62" s="338"/>
      <c r="H62" s="339"/>
      <c r="I62" s="337" t="s">
        <v>136</v>
      </c>
      <c r="J62" s="338"/>
      <c r="K62" s="339"/>
      <c r="L62" s="337" t="s">
        <v>136</v>
      </c>
      <c r="M62" s="338"/>
      <c r="N62" s="339"/>
      <c r="O62" s="337" t="s">
        <v>136</v>
      </c>
      <c r="P62" s="338"/>
      <c r="Q62" s="339"/>
      <c r="R62" s="337" t="s">
        <v>136</v>
      </c>
      <c r="S62" s="338"/>
      <c r="T62" s="339"/>
      <c r="U62" s="337" t="s">
        <v>136</v>
      </c>
      <c r="V62" s="338"/>
      <c r="W62" s="339"/>
      <c r="X62" s="337" t="s">
        <v>141</v>
      </c>
      <c r="Y62" s="338"/>
      <c r="Z62" s="339"/>
      <c r="AA62" s="337" t="s">
        <v>136</v>
      </c>
      <c r="AB62" s="338"/>
      <c r="AC62" s="339"/>
      <c r="AD62" s="337" t="s">
        <v>136</v>
      </c>
      <c r="AE62" s="338"/>
      <c r="AF62" s="339"/>
      <c r="AG62" s="337" t="s">
        <v>141</v>
      </c>
      <c r="AH62" s="338"/>
      <c r="AI62" s="339"/>
      <c r="AJ62" s="337" t="s">
        <v>141</v>
      </c>
      <c r="AK62" s="338"/>
      <c r="AL62" s="339"/>
      <c r="AM62" s="337"/>
      <c r="AN62" s="338"/>
      <c r="AO62" s="339"/>
      <c r="AP62" s="337"/>
      <c r="AQ62" s="338"/>
      <c r="AR62" s="339"/>
      <c r="AS62" s="337"/>
      <c r="AT62" s="338"/>
      <c r="AU62" s="339"/>
      <c r="AV62" s="337"/>
      <c r="AW62" s="338"/>
      <c r="AX62" s="339"/>
      <c r="AY62" s="337"/>
      <c r="AZ62" s="338"/>
      <c r="BA62" s="339"/>
      <c r="BB62" s="337"/>
      <c r="BC62" s="338"/>
      <c r="BD62" s="339"/>
      <c r="BE62" s="337"/>
      <c r="BF62" s="338"/>
      <c r="BG62" s="339"/>
      <c r="BH62" s="337"/>
      <c r="BI62" s="338"/>
      <c r="BJ62" s="339"/>
      <c r="BK62" s="337"/>
      <c r="BL62" s="338"/>
      <c r="BM62" s="339"/>
      <c r="BN62" s="337"/>
      <c r="BO62" s="338"/>
      <c r="BP62" s="339"/>
      <c r="BQ62" s="337"/>
      <c r="BR62" s="338"/>
      <c r="BS62" s="339"/>
      <c r="BT62" s="337"/>
      <c r="BU62" s="338"/>
      <c r="BV62" s="339"/>
      <c r="BW62" s="337"/>
      <c r="BX62" s="338"/>
      <c r="BY62" s="339"/>
      <c r="BZ62" s="337"/>
      <c r="CA62" s="338"/>
      <c r="CB62" s="339"/>
      <c r="CC62" s="337"/>
      <c r="CD62" s="338"/>
      <c r="CE62" s="339"/>
      <c r="CF62" s="337"/>
      <c r="CG62" s="338"/>
      <c r="CH62" s="339"/>
      <c r="CI62" s="337"/>
      <c r="CJ62" s="338"/>
      <c r="CK62" s="339"/>
      <c r="CL62" s="337"/>
      <c r="CM62" s="338"/>
      <c r="CN62" s="339"/>
      <c r="CO62" s="337"/>
      <c r="CP62" s="338"/>
      <c r="CQ62" s="338"/>
    </row>
    <row r="63" spans="1:95" s="13" customFormat="1" ht="15" customHeight="1" x14ac:dyDescent="0.25">
      <c r="A63" s="62"/>
      <c r="B63" s="62" t="s">
        <v>35</v>
      </c>
      <c r="C63" s="62"/>
      <c r="D63" s="363" t="s">
        <v>193</v>
      </c>
      <c r="E63" s="364"/>
      <c r="F63" s="38" t="s">
        <v>141</v>
      </c>
      <c r="G63" s="53" t="s">
        <v>194</v>
      </c>
      <c r="H63" s="47"/>
      <c r="I63" s="38" t="s">
        <v>141</v>
      </c>
      <c r="J63" s="53" t="s">
        <v>194</v>
      </c>
      <c r="K63" s="47"/>
      <c r="L63" s="38" t="s">
        <v>141</v>
      </c>
      <c r="M63" s="53" t="s">
        <v>194</v>
      </c>
      <c r="N63" s="47"/>
      <c r="O63" s="38" t="s">
        <v>141</v>
      </c>
      <c r="P63" s="53" t="s">
        <v>194</v>
      </c>
      <c r="Q63" s="47"/>
      <c r="R63" s="38" t="s">
        <v>141</v>
      </c>
      <c r="S63" s="53" t="s">
        <v>194</v>
      </c>
      <c r="T63" s="47"/>
      <c r="U63" s="38" t="s">
        <v>141</v>
      </c>
      <c r="V63" s="53" t="s">
        <v>194</v>
      </c>
      <c r="W63" s="47"/>
      <c r="X63" s="38" t="s">
        <v>136</v>
      </c>
      <c r="Y63" s="53" t="s">
        <v>194</v>
      </c>
      <c r="Z63" s="47" t="s">
        <v>195</v>
      </c>
      <c r="AA63" s="38" t="s">
        <v>141</v>
      </c>
      <c r="AB63" s="53" t="s">
        <v>194</v>
      </c>
      <c r="AC63" s="47"/>
      <c r="AD63" s="38" t="s">
        <v>141</v>
      </c>
      <c r="AE63" s="53" t="s">
        <v>194</v>
      </c>
      <c r="AF63" s="47"/>
      <c r="AG63" s="38" t="s">
        <v>141</v>
      </c>
      <c r="AH63" s="53" t="s">
        <v>194</v>
      </c>
      <c r="AI63" s="47"/>
      <c r="AJ63" s="38" t="s">
        <v>141</v>
      </c>
      <c r="AK63" s="53" t="s">
        <v>194</v>
      </c>
      <c r="AL63" s="47"/>
      <c r="AM63" s="38"/>
      <c r="AN63" s="53" t="s">
        <v>194</v>
      </c>
      <c r="AO63" s="47"/>
      <c r="AP63" s="38"/>
      <c r="AQ63" s="53" t="s">
        <v>194</v>
      </c>
      <c r="AR63" s="47"/>
      <c r="AS63" s="38"/>
      <c r="AT63" s="53" t="s">
        <v>194</v>
      </c>
      <c r="AU63" s="47"/>
      <c r="AV63" s="38"/>
      <c r="AW63" s="53" t="s">
        <v>194</v>
      </c>
      <c r="AX63" s="47"/>
      <c r="AY63" s="38"/>
      <c r="AZ63" s="53" t="s">
        <v>194</v>
      </c>
      <c r="BA63" s="47"/>
      <c r="BB63" s="38"/>
      <c r="BC63" s="53" t="s">
        <v>194</v>
      </c>
      <c r="BD63" s="47"/>
      <c r="BE63" s="38"/>
      <c r="BF63" s="53" t="s">
        <v>194</v>
      </c>
      <c r="BG63" s="47"/>
      <c r="BH63" s="38"/>
      <c r="BI63" s="53" t="s">
        <v>194</v>
      </c>
      <c r="BJ63" s="47"/>
      <c r="BK63" s="38"/>
      <c r="BL63" s="53" t="s">
        <v>194</v>
      </c>
      <c r="BM63" s="47"/>
      <c r="BN63" s="38"/>
      <c r="BO63" s="53" t="s">
        <v>194</v>
      </c>
      <c r="BP63" s="47"/>
      <c r="BQ63" s="38"/>
      <c r="BR63" s="53" t="s">
        <v>194</v>
      </c>
      <c r="BS63" s="47"/>
      <c r="BT63" s="38"/>
      <c r="BU63" s="53" t="s">
        <v>194</v>
      </c>
      <c r="BV63" s="47"/>
      <c r="BW63" s="38"/>
      <c r="BX63" s="53" t="s">
        <v>194</v>
      </c>
      <c r="BY63" s="47"/>
      <c r="BZ63" s="38"/>
      <c r="CA63" s="53" t="s">
        <v>194</v>
      </c>
      <c r="CB63" s="47"/>
      <c r="CC63" s="38"/>
      <c r="CD63" s="53" t="s">
        <v>194</v>
      </c>
      <c r="CE63" s="47"/>
      <c r="CF63" s="38"/>
      <c r="CG63" s="53" t="s">
        <v>194</v>
      </c>
      <c r="CH63" s="47"/>
      <c r="CI63" s="38"/>
      <c r="CJ63" s="53" t="s">
        <v>194</v>
      </c>
      <c r="CK63" s="47"/>
      <c r="CL63" s="38"/>
      <c r="CM63" s="53" t="s">
        <v>194</v>
      </c>
      <c r="CN63" s="47"/>
      <c r="CO63" s="37"/>
      <c r="CP63" s="53" t="s">
        <v>194</v>
      </c>
      <c r="CQ63" s="47"/>
    </row>
    <row r="64" spans="1:95" s="13" customFormat="1" ht="15" customHeight="1" x14ac:dyDescent="0.25">
      <c r="A64" s="62"/>
      <c r="B64" s="62" t="s">
        <v>35</v>
      </c>
      <c r="C64" s="62"/>
      <c r="D64" s="366" t="s">
        <v>196</v>
      </c>
      <c r="E64" s="367"/>
      <c r="F64" s="325"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xml:space="preserve">C-Statistic </v>
      </c>
      <c r="G64" s="326"/>
      <c r="H64" s="326"/>
      <c r="I64" s="325"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xml:space="preserve">C-Statistic / AUC graph </v>
      </c>
      <c r="J64" s="326"/>
      <c r="K64" s="326"/>
      <c r="L64" s="325"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xml:space="preserve">C-Statistic / AUC graph </v>
      </c>
      <c r="M64" s="326"/>
      <c r="N64" s="326"/>
      <c r="O64" s="325"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xml:space="preserve">C-Statistic / AUC graph </v>
      </c>
      <c r="P64" s="326"/>
      <c r="Q64" s="326"/>
      <c r="R64" s="325"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xml:space="preserve">C-Statistic / AUC graph </v>
      </c>
      <c r="S64" s="326"/>
      <c r="T64" s="326"/>
      <c r="U64" s="325"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xml:space="preserve">C-Statistic / AUC graph </v>
      </c>
      <c r="V64" s="326"/>
      <c r="W64" s="326"/>
      <c r="X64" s="325"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xml:space="preserve">C-Statistic / AUC graph </v>
      </c>
      <c r="Y64" s="326"/>
      <c r="Z64" s="326"/>
      <c r="AA64" s="325"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xml:space="preserve">C-Statistic / AUC graph </v>
      </c>
      <c r="AB64" s="326"/>
      <c r="AC64" s="326"/>
      <c r="AD64" s="325"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xml:space="preserve">C-Statistic / AUC graph </v>
      </c>
      <c r="AE64" s="326"/>
      <c r="AF64" s="326"/>
      <c r="AG64" s="325"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xml:space="preserve">C-Statistic / AUC graph </v>
      </c>
      <c r="AH64" s="326"/>
      <c r="AI64" s="326"/>
      <c r="AJ64" s="325"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xml:space="preserve">C-Statistic / AUC graph </v>
      </c>
      <c r="AK64" s="326"/>
      <c r="AL64" s="326"/>
      <c r="AM64" s="325"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26"/>
      <c r="AO64" s="326"/>
      <c r="AP64" s="325"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26"/>
      <c r="AR64" s="326"/>
      <c r="AS64" s="325"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26"/>
      <c r="AU64" s="326"/>
      <c r="AV64" s="325"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26"/>
      <c r="AX64" s="326"/>
      <c r="AY64" s="325"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26"/>
      <c r="BA64" s="326"/>
      <c r="BB64" s="325"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26"/>
      <c r="BD64" s="326"/>
      <c r="BE64" s="325"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26"/>
      <c r="BG64" s="326"/>
      <c r="BH64" s="325"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26"/>
      <c r="BJ64" s="326"/>
      <c r="BK64" s="325"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26"/>
      <c r="BM64" s="326"/>
      <c r="BN64" s="325"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26"/>
      <c r="BP64" s="326"/>
      <c r="BQ64" s="325"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26"/>
      <c r="BS64" s="326"/>
      <c r="BT64" s="325"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26"/>
      <c r="BV64" s="326"/>
      <c r="BW64" s="325"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26"/>
      <c r="BY64" s="326"/>
      <c r="BZ64" s="325"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26"/>
      <c r="CB64" s="326"/>
      <c r="CC64" s="325"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26"/>
      <c r="CE64" s="326"/>
      <c r="CF64" s="325"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26"/>
      <c r="CH64" s="326"/>
      <c r="CI64" s="325"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26"/>
      <c r="CK64" s="326"/>
      <c r="CL64" s="325"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26"/>
      <c r="CN64" s="326"/>
      <c r="CO64" s="325"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26"/>
      <c r="CQ64" s="326"/>
    </row>
    <row r="65" spans="1:95" s="13" customFormat="1" ht="15" customHeight="1" x14ac:dyDescent="0.25">
      <c r="A65" s="62"/>
      <c r="B65" s="62" t="s">
        <v>35</v>
      </c>
      <c r="C65" s="62"/>
      <c r="D65" s="361" t="s">
        <v>197</v>
      </c>
      <c r="E65" s="365"/>
      <c r="F65" s="38" t="s">
        <v>136</v>
      </c>
      <c r="G65" s="52" t="s">
        <v>186</v>
      </c>
      <c r="H65" s="46">
        <v>0.75800000000000001</v>
      </c>
      <c r="I65" s="38" t="s">
        <v>136</v>
      </c>
      <c r="J65" s="52" t="s">
        <v>186</v>
      </c>
      <c r="K65" s="46" t="s">
        <v>198</v>
      </c>
      <c r="L65" s="38" t="s">
        <v>136</v>
      </c>
      <c r="M65" s="52" t="s">
        <v>186</v>
      </c>
      <c r="N65" s="46" t="s">
        <v>199</v>
      </c>
      <c r="O65" s="38" t="s">
        <v>136</v>
      </c>
      <c r="P65" s="52" t="s">
        <v>186</v>
      </c>
      <c r="Q65" s="46" t="s">
        <v>200</v>
      </c>
      <c r="R65" s="38" t="s">
        <v>136</v>
      </c>
      <c r="S65" s="52" t="s">
        <v>186</v>
      </c>
      <c r="T65" s="46" t="s">
        <v>201</v>
      </c>
      <c r="U65" s="38" t="s">
        <v>136</v>
      </c>
      <c r="V65" s="52" t="s">
        <v>186</v>
      </c>
      <c r="W65" s="46" t="s">
        <v>202</v>
      </c>
      <c r="X65" s="38" t="s">
        <v>136</v>
      </c>
      <c r="Y65" s="52" t="s">
        <v>186</v>
      </c>
      <c r="Z65" s="46" t="s">
        <v>203</v>
      </c>
      <c r="AA65" s="38" t="s">
        <v>136</v>
      </c>
      <c r="AB65" s="52" t="s">
        <v>186</v>
      </c>
      <c r="AC65" s="46" t="s">
        <v>204</v>
      </c>
      <c r="AD65" s="38" t="s">
        <v>136</v>
      </c>
      <c r="AE65" s="52" t="s">
        <v>186</v>
      </c>
      <c r="AF65" s="46" t="s">
        <v>205</v>
      </c>
      <c r="AG65" s="38" t="s">
        <v>136</v>
      </c>
      <c r="AH65" s="52" t="s">
        <v>186</v>
      </c>
      <c r="AI65" s="46" t="s">
        <v>206</v>
      </c>
      <c r="AJ65" s="38" t="s">
        <v>136</v>
      </c>
      <c r="AK65" s="52" t="s">
        <v>186</v>
      </c>
      <c r="AL65" s="46" t="s">
        <v>207</v>
      </c>
      <c r="AM65" s="38"/>
      <c r="AN65" s="52" t="s">
        <v>186</v>
      </c>
      <c r="AO65" s="46"/>
      <c r="AP65" s="38"/>
      <c r="AQ65" s="52" t="s">
        <v>186</v>
      </c>
      <c r="AR65" s="46"/>
      <c r="AS65" s="38"/>
      <c r="AT65" s="52" t="s">
        <v>186</v>
      </c>
      <c r="AU65" s="46"/>
      <c r="AV65" s="38"/>
      <c r="AW65" s="52" t="s">
        <v>186</v>
      </c>
      <c r="AX65" s="46"/>
      <c r="AY65" s="38"/>
      <c r="AZ65" s="52" t="s">
        <v>186</v>
      </c>
      <c r="BA65" s="46"/>
      <c r="BB65" s="38"/>
      <c r="BC65" s="52" t="s">
        <v>186</v>
      </c>
      <c r="BD65" s="46"/>
      <c r="BE65" s="38"/>
      <c r="BF65" s="52" t="s">
        <v>186</v>
      </c>
      <c r="BG65" s="46"/>
      <c r="BH65" s="38"/>
      <c r="BI65" s="52" t="s">
        <v>186</v>
      </c>
      <c r="BJ65" s="46"/>
      <c r="BK65" s="38"/>
      <c r="BL65" s="52" t="s">
        <v>186</v>
      </c>
      <c r="BM65" s="46"/>
      <c r="BN65" s="38"/>
      <c r="BO65" s="52" t="s">
        <v>186</v>
      </c>
      <c r="BP65" s="46"/>
      <c r="BQ65" s="38"/>
      <c r="BR65" s="52" t="s">
        <v>186</v>
      </c>
      <c r="BS65" s="46"/>
      <c r="BT65" s="38"/>
      <c r="BU65" s="52" t="s">
        <v>186</v>
      </c>
      <c r="BV65" s="46"/>
      <c r="BW65" s="38"/>
      <c r="BX65" s="52" t="s">
        <v>186</v>
      </c>
      <c r="BY65" s="46"/>
      <c r="BZ65" s="38"/>
      <c r="CA65" s="52" t="s">
        <v>186</v>
      </c>
      <c r="CB65" s="46"/>
      <c r="CC65" s="38"/>
      <c r="CD65" s="52" t="s">
        <v>186</v>
      </c>
      <c r="CE65" s="46"/>
      <c r="CF65" s="38"/>
      <c r="CG65" s="52" t="s">
        <v>186</v>
      </c>
      <c r="CH65" s="46"/>
      <c r="CI65" s="38"/>
      <c r="CJ65" s="52" t="s">
        <v>186</v>
      </c>
      <c r="CK65" s="46"/>
      <c r="CL65" s="38"/>
      <c r="CM65" s="52" t="s">
        <v>186</v>
      </c>
      <c r="CN65" s="46"/>
      <c r="CO65" s="37"/>
      <c r="CP65" s="52" t="s">
        <v>186</v>
      </c>
      <c r="CQ65" s="46"/>
    </row>
    <row r="66" spans="1:95" s="13" customFormat="1" ht="15" customHeight="1" x14ac:dyDescent="0.25">
      <c r="A66" s="62"/>
      <c r="B66" s="62" t="s">
        <v>35</v>
      </c>
      <c r="C66" s="62"/>
      <c r="D66" s="363" t="s">
        <v>208</v>
      </c>
      <c r="E66" s="364"/>
      <c r="F66" s="38" t="s">
        <v>141</v>
      </c>
      <c r="G66" s="52" t="s">
        <v>186</v>
      </c>
      <c r="H66" s="46"/>
      <c r="I66" s="38" t="s">
        <v>141</v>
      </c>
      <c r="J66" s="52" t="s">
        <v>186</v>
      </c>
      <c r="K66" s="46"/>
      <c r="L66" s="38" t="s">
        <v>141</v>
      </c>
      <c r="M66" s="52" t="s">
        <v>186</v>
      </c>
      <c r="N66" s="46"/>
      <c r="O66" s="38" t="s">
        <v>141</v>
      </c>
      <c r="P66" s="52" t="s">
        <v>186</v>
      </c>
      <c r="Q66" s="46"/>
      <c r="R66" s="38" t="s">
        <v>141</v>
      </c>
      <c r="S66" s="52" t="s">
        <v>186</v>
      </c>
      <c r="T66" s="46"/>
      <c r="U66" s="38" t="s">
        <v>141</v>
      </c>
      <c r="V66" s="52" t="s">
        <v>186</v>
      </c>
      <c r="W66" s="46"/>
      <c r="X66" s="38" t="s">
        <v>141</v>
      </c>
      <c r="Y66" s="52" t="s">
        <v>186</v>
      </c>
      <c r="Z66" s="46"/>
      <c r="AA66" s="38" t="s">
        <v>141</v>
      </c>
      <c r="AB66" s="52" t="s">
        <v>186</v>
      </c>
      <c r="AC66" s="46"/>
      <c r="AD66" s="38" t="s">
        <v>141</v>
      </c>
      <c r="AE66" s="52" t="s">
        <v>186</v>
      </c>
      <c r="AF66" s="46"/>
      <c r="AG66" s="38" t="s">
        <v>141</v>
      </c>
      <c r="AH66" s="52" t="s">
        <v>186</v>
      </c>
      <c r="AI66" s="46"/>
      <c r="AJ66" s="38" t="s">
        <v>141</v>
      </c>
      <c r="AK66" s="52" t="s">
        <v>186</v>
      </c>
      <c r="AL66" s="46"/>
      <c r="AM66" s="38"/>
      <c r="AN66" s="52" t="s">
        <v>186</v>
      </c>
      <c r="AO66" s="46"/>
      <c r="AP66" s="38"/>
      <c r="AQ66" s="52" t="s">
        <v>186</v>
      </c>
      <c r="AR66" s="46"/>
      <c r="AS66" s="38"/>
      <c r="AT66" s="52" t="s">
        <v>186</v>
      </c>
      <c r="AU66" s="46"/>
      <c r="AV66" s="38"/>
      <c r="AW66" s="52" t="s">
        <v>186</v>
      </c>
      <c r="AX66" s="46"/>
      <c r="AY66" s="38"/>
      <c r="AZ66" s="52" t="s">
        <v>186</v>
      </c>
      <c r="BA66" s="46"/>
      <c r="BB66" s="38"/>
      <c r="BC66" s="52" t="s">
        <v>186</v>
      </c>
      <c r="BD66" s="46"/>
      <c r="BE66" s="38"/>
      <c r="BF66" s="52" t="s">
        <v>186</v>
      </c>
      <c r="BG66" s="46"/>
      <c r="BH66" s="38"/>
      <c r="BI66" s="52" t="s">
        <v>186</v>
      </c>
      <c r="BJ66" s="46"/>
      <c r="BK66" s="38"/>
      <c r="BL66" s="52" t="s">
        <v>186</v>
      </c>
      <c r="BM66" s="46"/>
      <c r="BN66" s="38"/>
      <c r="BO66" s="52" t="s">
        <v>186</v>
      </c>
      <c r="BP66" s="46"/>
      <c r="BQ66" s="38"/>
      <c r="BR66" s="52" t="s">
        <v>186</v>
      </c>
      <c r="BS66" s="46"/>
      <c r="BT66" s="38"/>
      <c r="BU66" s="52" t="s">
        <v>186</v>
      </c>
      <c r="BV66" s="46"/>
      <c r="BW66" s="38"/>
      <c r="BX66" s="52" t="s">
        <v>186</v>
      </c>
      <c r="BY66" s="46"/>
      <c r="BZ66" s="38"/>
      <c r="CA66" s="52" t="s">
        <v>186</v>
      </c>
      <c r="CB66" s="46"/>
      <c r="CC66" s="38"/>
      <c r="CD66" s="52" t="s">
        <v>186</v>
      </c>
      <c r="CE66" s="46"/>
      <c r="CF66" s="38"/>
      <c r="CG66" s="52" t="s">
        <v>186</v>
      </c>
      <c r="CH66" s="46"/>
      <c r="CI66" s="38"/>
      <c r="CJ66" s="52" t="s">
        <v>186</v>
      </c>
      <c r="CK66" s="46"/>
      <c r="CL66" s="38"/>
      <c r="CM66" s="52" t="s">
        <v>186</v>
      </c>
      <c r="CN66" s="46"/>
      <c r="CO66" s="37"/>
      <c r="CP66" s="52" t="s">
        <v>186</v>
      </c>
      <c r="CQ66" s="46"/>
    </row>
    <row r="67" spans="1:95" s="13" customFormat="1" ht="15" customHeight="1" x14ac:dyDescent="0.25">
      <c r="A67" s="62"/>
      <c r="B67" s="62" t="s">
        <v>35</v>
      </c>
      <c r="C67" s="62"/>
      <c r="D67" s="368" t="s">
        <v>209</v>
      </c>
      <c r="E67" s="369"/>
      <c r="F67" s="340" t="s">
        <v>141</v>
      </c>
      <c r="G67" s="341"/>
      <c r="H67" s="341"/>
      <c r="I67" s="340" t="s">
        <v>136</v>
      </c>
      <c r="J67" s="341"/>
      <c r="K67" s="341"/>
      <c r="L67" s="340" t="s">
        <v>136</v>
      </c>
      <c r="M67" s="341"/>
      <c r="N67" s="341"/>
      <c r="O67" s="340" t="s">
        <v>136</v>
      </c>
      <c r="P67" s="341"/>
      <c r="Q67" s="341"/>
      <c r="R67" s="340" t="s">
        <v>136</v>
      </c>
      <c r="S67" s="341"/>
      <c r="T67" s="341"/>
      <c r="U67" s="340" t="s">
        <v>136</v>
      </c>
      <c r="V67" s="341"/>
      <c r="W67" s="341"/>
      <c r="X67" s="340" t="s">
        <v>136</v>
      </c>
      <c r="Y67" s="341"/>
      <c r="Z67" s="341"/>
      <c r="AA67" s="340" t="s">
        <v>136</v>
      </c>
      <c r="AB67" s="341"/>
      <c r="AC67" s="341"/>
      <c r="AD67" s="340" t="s">
        <v>136</v>
      </c>
      <c r="AE67" s="341"/>
      <c r="AF67" s="341"/>
      <c r="AG67" s="340" t="s">
        <v>136</v>
      </c>
      <c r="AH67" s="341"/>
      <c r="AI67" s="341"/>
      <c r="AJ67" s="340" t="s">
        <v>136</v>
      </c>
      <c r="AK67" s="341"/>
      <c r="AL67" s="341"/>
      <c r="AM67" s="340"/>
      <c r="AN67" s="341"/>
      <c r="AO67" s="341"/>
      <c r="AP67" s="340"/>
      <c r="AQ67" s="341"/>
      <c r="AR67" s="341"/>
      <c r="AS67" s="340"/>
      <c r="AT67" s="341"/>
      <c r="AU67" s="341"/>
      <c r="AV67" s="340"/>
      <c r="AW67" s="341"/>
      <c r="AX67" s="341"/>
      <c r="AY67" s="340"/>
      <c r="AZ67" s="341"/>
      <c r="BA67" s="341"/>
      <c r="BB67" s="340"/>
      <c r="BC67" s="341"/>
      <c r="BD67" s="341"/>
      <c r="BE67" s="340"/>
      <c r="BF67" s="341"/>
      <c r="BG67" s="341"/>
      <c r="BH67" s="340"/>
      <c r="BI67" s="341"/>
      <c r="BJ67" s="341"/>
      <c r="BK67" s="340"/>
      <c r="BL67" s="341"/>
      <c r="BM67" s="341"/>
      <c r="BN67" s="340"/>
      <c r="BO67" s="341"/>
      <c r="BP67" s="341"/>
      <c r="BQ67" s="340"/>
      <c r="BR67" s="341"/>
      <c r="BS67" s="341"/>
      <c r="BT67" s="340"/>
      <c r="BU67" s="341"/>
      <c r="BV67" s="341"/>
      <c r="BW67" s="340"/>
      <c r="BX67" s="341"/>
      <c r="BY67" s="341"/>
      <c r="BZ67" s="340"/>
      <c r="CA67" s="341"/>
      <c r="CB67" s="341"/>
      <c r="CC67" s="340"/>
      <c r="CD67" s="341"/>
      <c r="CE67" s="341"/>
      <c r="CF67" s="340"/>
      <c r="CG67" s="341"/>
      <c r="CH67" s="341"/>
      <c r="CI67" s="340"/>
      <c r="CJ67" s="341"/>
      <c r="CK67" s="341"/>
      <c r="CL67" s="340"/>
      <c r="CM67" s="341"/>
      <c r="CN67" s="341"/>
      <c r="CO67" s="340"/>
      <c r="CP67" s="341"/>
      <c r="CQ67" s="341"/>
    </row>
    <row r="68" spans="1:95" s="13" customFormat="1" ht="15" customHeight="1" x14ac:dyDescent="0.25">
      <c r="A68" s="62"/>
      <c r="B68" s="62" t="s">
        <v>35</v>
      </c>
      <c r="C68" s="62"/>
      <c r="D68" s="361" t="s">
        <v>210</v>
      </c>
      <c r="E68" s="362"/>
      <c r="F68" s="308" t="s">
        <v>211</v>
      </c>
      <c r="G68" s="309"/>
      <c r="H68" s="309"/>
      <c r="I68" s="308" t="s">
        <v>211</v>
      </c>
      <c r="J68" s="309"/>
      <c r="K68" s="309"/>
      <c r="L68" s="308" t="s">
        <v>211</v>
      </c>
      <c r="M68" s="309"/>
      <c r="N68" s="309"/>
      <c r="O68" s="308" t="s">
        <v>211</v>
      </c>
      <c r="P68" s="309"/>
      <c r="Q68" s="309"/>
      <c r="R68" s="308" t="s">
        <v>211</v>
      </c>
      <c r="S68" s="309"/>
      <c r="T68" s="309"/>
      <c r="U68" s="308" t="s">
        <v>211</v>
      </c>
      <c r="V68" s="309"/>
      <c r="W68" s="309"/>
      <c r="X68" s="308" t="s">
        <v>211</v>
      </c>
      <c r="Y68" s="309"/>
      <c r="Z68" s="309"/>
      <c r="AA68" s="308" t="s">
        <v>211</v>
      </c>
      <c r="AB68" s="309"/>
      <c r="AC68" s="309"/>
      <c r="AD68" s="308" t="s">
        <v>211</v>
      </c>
      <c r="AE68" s="309"/>
      <c r="AF68" s="309"/>
      <c r="AG68" s="308" t="s">
        <v>211</v>
      </c>
      <c r="AH68" s="309"/>
      <c r="AI68" s="309"/>
      <c r="AJ68" s="308" t="s">
        <v>211</v>
      </c>
      <c r="AK68" s="309"/>
      <c r="AL68" s="309"/>
      <c r="AM68" s="308"/>
      <c r="AN68" s="309"/>
      <c r="AO68" s="309"/>
      <c r="AP68" s="308"/>
      <c r="AQ68" s="309"/>
      <c r="AR68" s="309"/>
      <c r="AS68" s="308"/>
      <c r="AT68" s="309"/>
      <c r="AU68" s="309"/>
      <c r="AV68" s="308"/>
      <c r="AW68" s="309"/>
      <c r="AX68" s="309"/>
      <c r="AY68" s="308"/>
      <c r="AZ68" s="309"/>
      <c r="BA68" s="309"/>
      <c r="BB68" s="308"/>
      <c r="BC68" s="309"/>
      <c r="BD68" s="309"/>
      <c r="BE68" s="308"/>
      <c r="BF68" s="309"/>
      <c r="BG68" s="309"/>
      <c r="BH68" s="308"/>
      <c r="BI68" s="309"/>
      <c r="BJ68" s="309"/>
      <c r="BK68" s="308"/>
      <c r="BL68" s="309"/>
      <c r="BM68" s="309"/>
      <c r="BN68" s="308"/>
      <c r="BO68" s="309"/>
      <c r="BP68" s="309"/>
      <c r="BQ68" s="308"/>
      <c r="BR68" s="309"/>
      <c r="BS68" s="309"/>
      <c r="BT68" s="308"/>
      <c r="BU68" s="309"/>
      <c r="BV68" s="309"/>
      <c r="BW68" s="308"/>
      <c r="BX68" s="309"/>
      <c r="BY68" s="309"/>
      <c r="BZ68" s="308"/>
      <c r="CA68" s="309"/>
      <c r="CB68" s="309"/>
      <c r="CC68" s="308"/>
      <c r="CD68" s="309"/>
      <c r="CE68" s="309"/>
      <c r="CF68" s="308"/>
      <c r="CG68" s="309"/>
      <c r="CH68" s="309"/>
      <c r="CI68" s="308"/>
      <c r="CJ68" s="309"/>
      <c r="CK68" s="309"/>
      <c r="CL68" s="308"/>
      <c r="CM68" s="309"/>
      <c r="CN68" s="309"/>
      <c r="CO68" s="308"/>
      <c r="CP68" s="309"/>
      <c r="CQ68" s="309"/>
    </row>
    <row r="69" spans="1:95" s="13" customFormat="1" ht="15" customHeight="1" x14ac:dyDescent="0.25">
      <c r="A69" s="62"/>
      <c r="B69" s="62" t="s">
        <v>35</v>
      </c>
      <c r="C69" s="62"/>
      <c r="D69" s="361" t="s">
        <v>212</v>
      </c>
      <c r="E69" s="362"/>
      <c r="F69" s="308" t="s">
        <v>211</v>
      </c>
      <c r="G69" s="309"/>
      <c r="H69" s="309"/>
      <c r="I69" s="308" t="s">
        <v>211</v>
      </c>
      <c r="J69" s="309"/>
      <c r="K69" s="309"/>
      <c r="L69" s="308" t="s">
        <v>211</v>
      </c>
      <c r="M69" s="309"/>
      <c r="N69" s="309"/>
      <c r="O69" s="308" t="s">
        <v>211</v>
      </c>
      <c r="P69" s="309"/>
      <c r="Q69" s="309"/>
      <c r="R69" s="308" t="s">
        <v>211</v>
      </c>
      <c r="S69" s="309"/>
      <c r="T69" s="309"/>
      <c r="U69" s="308" t="s">
        <v>211</v>
      </c>
      <c r="V69" s="309"/>
      <c r="W69" s="309"/>
      <c r="X69" s="308" t="s">
        <v>211</v>
      </c>
      <c r="Y69" s="309"/>
      <c r="Z69" s="309"/>
      <c r="AA69" s="308" t="s">
        <v>211</v>
      </c>
      <c r="AB69" s="309"/>
      <c r="AC69" s="309"/>
      <c r="AD69" s="308" t="s">
        <v>211</v>
      </c>
      <c r="AE69" s="309"/>
      <c r="AF69" s="309"/>
      <c r="AG69" s="308" t="s">
        <v>211</v>
      </c>
      <c r="AH69" s="309"/>
      <c r="AI69" s="309"/>
      <c r="AJ69" s="308" t="s">
        <v>211</v>
      </c>
      <c r="AK69" s="309"/>
      <c r="AL69" s="309"/>
      <c r="AM69" s="308"/>
      <c r="AN69" s="309"/>
      <c r="AO69" s="309"/>
      <c r="AP69" s="308"/>
      <c r="AQ69" s="309"/>
      <c r="AR69" s="309"/>
      <c r="AS69" s="308"/>
      <c r="AT69" s="309"/>
      <c r="AU69" s="309"/>
      <c r="AV69" s="308"/>
      <c r="AW69" s="309"/>
      <c r="AX69" s="309"/>
      <c r="AY69" s="308"/>
      <c r="AZ69" s="309"/>
      <c r="BA69" s="309"/>
      <c r="BB69" s="308"/>
      <c r="BC69" s="309"/>
      <c r="BD69" s="309"/>
      <c r="BE69" s="308"/>
      <c r="BF69" s="309"/>
      <c r="BG69" s="309"/>
      <c r="BH69" s="308"/>
      <c r="BI69" s="309"/>
      <c r="BJ69" s="309"/>
      <c r="BK69" s="308"/>
      <c r="BL69" s="309"/>
      <c r="BM69" s="309"/>
      <c r="BN69" s="308"/>
      <c r="BO69" s="309"/>
      <c r="BP69" s="309"/>
      <c r="BQ69" s="308"/>
      <c r="BR69" s="309"/>
      <c r="BS69" s="309"/>
      <c r="BT69" s="308"/>
      <c r="BU69" s="309"/>
      <c r="BV69" s="309"/>
      <c r="BW69" s="308"/>
      <c r="BX69" s="309"/>
      <c r="BY69" s="309"/>
      <c r="BZ69" s="308"/>
      <c r="CA69" s="309"/>
      <c r="CB69" s="309"/>
      <c r="CC69" s="308"/>
      <c r="CD69" s="309"/>
      <c r="CE69" s="309"/>
      <c r="CF69" s="308"/>
      <c r="CG69" s="309"/>
      <c r="CH69" s="309"/>
      <c r="CI69" s="308"/>
      <c r="CJ69" s="309"/>
      <c r="CK69" s="309"/>
      <c r="CL69" s="308"/>
      <c r="CM69" s="309"/>
      <c r="CN69" s="309"/>
      <c r="CO69" s="308"/>
      <c r="CP69" s="309"/>
      <c r="CQ69" s="309"/>
    </row>
    <row r="70" spans="1:95" s="13" customFormat="1" ht="15" customHeight="1" x14ac:dyDescent="0.25">
      <c r="A70" s="62"/>
      <c r="B70" s="62" t="s">
        <v>35</v>
      </c>
      <c r="C70" s="62"/>
      <c r="D70" s="363" t="s">
        <v>213</v>
      </c>
      <c r="E70" s="364"/>
      <c r="F70" s="38" t="s">
        <v>141</v>
      </c>
      <c r="G70" s="53" t="s">
        <v>194</v>
      </c>
      <c r="H70" s="47"/>
      <c r="I70" s="38" t="s">
        <v>141</v>
      </c>
      <c r="J70" s="53" t="s">
        <v>194</v>
      </c>
      <c r="K70" s="47"/>
      <c r="L70" s="38" t="s">
        <v>141</v>
      </c>
      <c r="M70" s="53" t="s">
        <v>194</v>
      </c>
      <c r="N70" s="47"/>
      <c r="O70" s="38" t="s">
        <v>141</v>
      </c>
      <c r="P70" s="53" t="s">
        <v>194</v>
      </c>
      <c r="Q70" s="47"/>
      <c r="R70" s="38" t="s">
        <v>141</v>
      </c>
      <c r="S70" s="53" t="s">
        <v>194</v>
      </c>
      <c r="T70" s="47"/>
      <c r="U70" s="38" t="s">
        <v>141</v>
      </c>
      <c r="V70" s="53" t="s">
        <v>194</v>
      </c>
      <c r="W70" s="47"/>
      <c r="X70" s="38" t="s">
        <v>141</v>
      </c>
      <c r="Y70" s="53" t="s">
        <v>194</v>
      </c>
      <c r="Z70" s="47"/>
      <c r="AA70" s="38" t="s">
        <v>141</v>
      </c>
      <c r="AB70" s="53" t="s">
        <v>194</v>
      </c>
      <c r="AC70" s="47"/>
      <c r="AD70" s="38" t="s">
        <v>141</v>
      </c>
      <c r="AE70" s="53" t="s">
        <v>194</v>
      </c>
      <c r="AF70" s="47"/>
      <c r="AG70" s="38" t="s">
        <v>141</v>
      </c>
      <c r="AH70" s="53" t="s">
        <v>194</v>
      </c>
      <c r="AI70" s="47"/>
      <c r="AJ70" s="38" t="s">
        <v>141</v>
      </c>
      <c r="AK70" s="53" t="s">
        <v>194</v>
      </c>
      <c r="AL70" s="47"/>
      <c r="AM70" s="38"/>
      <c r="AN70" s="53" t="s">
        <v>194</v>
      </c>
      <c r="AO70" s="47"/>
      <c r="AP70" s="38"/>
      <c r="AQ70" s="53" t="s">
        <v>194</v>
      </c>
      <c r="AR70" s="47"/>
      <c r="AS70" s="38"/>
      <c r="AT70" s="53" t="s">
        <v>194</v>
      </c>
      <c r="AU70" s="47"/>
      <c r="AV70" s="38"/>
      <c r="AW70" s="53" t="s">
        <v>194</v>
      </c>
      <c r="AX70" s="47"/>
      <c r="AY70" s="38"/>
      <c r="AZ70" s="53" t="s">
        <v>194</v>
      </c>
      <c r="BA70" s="47"/>
      <c r="BB70" s="38"/>
      <c r="BC70" s="53" t="s">
        <v>194</v>
      </c>
      <c r="BD70" s="47"/>
      <c r="BE70" s="38"/>
      <c r="BF70" s="53" t="s">
        <v>194</v>
      </c>
      <c r="BG70" s="47"/>
      <c r="BH70" s="38"/>
      <c r="BI70" s="53" t="s">
        <v>194</v>
      </c>
      <c r="BJ70" s="47"/>
      <c r="BK70" s="38"/>
      <c r="BL70" s="53" t="s">
        <v>194</v>
      </c>
      <c r="BM70" s="47"/>
      <c r="BN70" s="38"/>
      <c r="BO70" s="53" t="s">
        <v>194</v>
      </c>
      <c r="BP70" s="47"/>
      <c r="BQ70" s="38"/>
      <c r="BR70" s="53" t="s">
        <v>194</v>
      </c>
      <c r="BS70" s="47"/>
      <c r="BT70" s="38"/>
      <c r="BU70" s="53" t="s">
        <v>194</v>
      </c>
      <c r="BV70" s="47"/>
      <c r="BW70" s="38"/>
      <c r="BX70" s="53" t="s">
        <v>194</v>
      </c>
      <c r="BY70" s="47"/>
      <c r="BZ70" s="38"/>
      <c r="CA70" s="53" t="s">
        <v>194</v>
      </c>
      <c r="CB70" s="47"/>
      <c r="CC70" s="38"/>
      <c r="CD70" s="53" t="s">
        <v>194</v>
      </c>
      <c r="CE70" s="47"/>
      <c r="CF70" s="38"/>
      <c r="CG70" s="53" t="s">
        <v>194</v>
      </c>
      <c r="CH70" s="47"/>
      <c r="CI70" s="38"/>
      <c r="CJ70" s="53" t="s">
        <v>194</v>
      </c>
      <c r="CK70" s="47"/>
      <c r="CL70" s="38"/>
      <c r="CM70" s="53" t="s">
        <v>194</v>
      </c>
      <c r="CN70" s="47"/>
      <c r="CO70" s="37"/>
      <c r="CP70" s="53" t="s">
        <v>194</v>
      </c>
      <c r="CQ70" s="47"/>
    </row>
    <row r="71" spans="1:95" s="13" customFormat="1" ht="15" customHeight="1" x14ac:dyDescent="0.25">
      <c r="A71" s="62"/>
      <c r="B71" s="62" t="s">
        <v>35</v>
      </c>
      <c r="C71" s="62"/>
      <c r="D71" s="366" t="s">
        <v>214</v>
      </c>
      <c r="E71" s="367"/>
      <c r="F71" s="325"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Not evaluated</v>
      </c>
      <c r="G71" s="326"/>
      <c r="H71" s="326"/>
      <c r="I71" s="325"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Not evaluated</v>
      </c>
      <c r="J71" s="326"/>
      <c r="K71" s="326"/>
      <c r="L71" s="325"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Not evaluated</v>
      </c>
      <c r="M71" s="326"/>
      <c r="N71" s="326"/>
      <c r="O71" s="325"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xml:space="preserve">Brier score </v>
      </c>
      <c r="P71" s="326"/>
      <c r="Q71" s="326"/>
      <c r="R71" s="325"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Not evaluated</v>
      </c>
      <c r="S71" s="326"/>
      <c r="T71" s="326"/>
      <c r="U71" s="325"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Not evaluated</v>
      </c>
      <c r="V71" s="326"/>
      <c r="W71" s="326"/>
      <c r="X71" s="325"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xml:space="preserve">Brier score </v>
      </c>
      <c r="Y71" s="326"/>
      <c r="Z71" s="326"/>
      <c r="AA71" s="325"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Not evaluated</v>
      </c>
      <c r="AB71" s="326"/>
      <c r="AC71" s="326"/>
      <c r="AD71" s="325"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Not evaluated</v>
      </c>
      <c r="AE71" s="326"/>
      <c r="AF71" s="326"/>
      <c r="AG71" s="325"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xml:space="preserve">Brier score </v>
      </c>
      <c r="AH71" s="326"/>
      <c r="AI71" s="326"/>
      <c r="AJ71" s="325"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xml:space="preserve">Brier score </v>
      </c>
      <c r="AK71" s="326"/>
      <c r="AL71" s="326"/>
      <c r="AM71" s="325"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26"/>
      <c r="AO71" s="326"/>
      <c r="AP71" s="325"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26"/>
      <c r="AR71" s="326"/>
      <c r="AS71" s="325"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26"/>
      <c r="AU71" s="326"/>
      <c r="AV71" s="325"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26"/>
      <c r="AX71" s="326"/>
      <c r="AY71" s="325"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26"/>
      <c r="BA71" s="326"/>
      <c r="BB71" s="325"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26"/>
      <c r="BD71" s="326"/>
      <c r="BE71" s="325"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26"/>
      <c r="BG71" s="326"/>
      <c r="BH71" s="325"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26"/>
      <c r="BJ71" s="326"/>
      <c r="BK71" s="325"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26"/>
      <c r="BM71" s="326"/>
      <c r="BN71" s="325"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26"/>
      <c r="BP71" s="326"/>
      <c r="BQ71" s="325"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26"/>
      <c r="BS71" s="326"/>
      <c r="BT71" s="325"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26"/>
      <c r="BV71" s="326"/>
      <c r="BW71" s="325"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26"/>
      <c r="BY71" s="326"/>
      <c r="BZ71" s="325"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26"/>
      <c r="CB71" s="326"/>
      <c r="CC71" s="325"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26"/>
      <c r="CE71" s="326"/>
      <c r="CF71" s="325"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26"/>
      <c r="CH71" s="326"/>
      <c r="CI71" s="325"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26"/>
      <c r="CK71" s="326"/>
      <c r="CL71" s="325"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26"/>
      <c r="CN71" s="326"/>
      <c r="CO71" s="325"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26"/>
      <c r="CQ71" s="326"/>
    </row>
    <row r="72" spans="1:95" s="13" customFormat="1" ht="15" customHeight="1" x14ac:dyDescent="0.25">
      <c r="A72" s="62"/>
      <c r="B72" s="62" t="s">
        <v>35</v>
      </c>
      <c r="C72" s="62"/>
      <c r="D72" s="361" t="s">
        <v>215</v>
      </c>
      <c r="E72" s="365"/>
      <c r="F72" s="38" t="s">
        <v>141</v>
      </c>
      <c r="G72" s="52" t="s">
        <v>186</v>
      </c>
      <c r="H72" s="46"/>
      <c r="I72" s="38" t="s">
        <v>141</v>
      </c>
      <c r="J72" s="52" t="s">
        <v>186</v>
      </c>
      <c r="K72" s="46"/>
      <c r="L72" s="38" t="s">
        <v>141</v>
      </c>
      <c r="M72" s="52" t="s">
        <v>186</v>
      </c>
      <c r="N72" s="46"/>
      <c r="O72" s="38" t="s">
        <v>141</v>
      </c>
      <c r="P72" s="52" t="s">
        <v>186</v>
      </c>
      <c r="Q72" s="46"/>
      <c r="R72" s="38" t="s">
        <v>141</v>
      </c>
      <c r="S72" s="52" t="s">
        <v>186</v>
      </c>
      <c r="T72" s="46"/>
      <c r="U72" s="38" t="s">
        <v>141</v>
      </c>
      <c r="V72" s="52" t="s">
        <v>186</v>
      </c>
      <c r="W72" s="46"/>
      <c r="X72" s="38" t="s">
        <v>141</v>
      </c>
      <c r="Y72" s="52" t="s">
        <v>186</v>
      </c>
      <c r="Z72" s="46"/>
      <c r="AA72" s="38" t="s">
        <v>141</v>
      </c>
      <c r="AB72" s="52" t="s">
        <v>186</v>
      </c>
      <c r="AC72" s="46"/>
      <c r="AD72" s="38" t="s">
        <v>141</v>
      </c>
      <c r="AE72" s="52" t="s">
        <v>186</v>
      </c>
      <c r="AF72" s="46"/>
      <c r="AG72" s="38" t="s">
        <v>141</v>
      </c>
      <c r="AH72" s="52" t="s">
        <v>186</v>
      </c>
      <c r="AI72" s="46"/>
      <c r="AJ72" s="38" t="s">
        <v>141</v>
      </c>
      <c r="AK72" s="52" t="s">
        <v>186</v>
      </c>
      <c r="AL72" s="46"/>
      <c r="AM72" s="38"/>
      <c r="AN72" s="52" t="s">
        <v>186</v>
      </c>
      <c r="AO72" s="46"/>
      <c r="AP72" s="38"/>
      <c r="AQ72" s="52" t="s">
        <v>186</v>
      </c>
      <c r="AR72" s="46"/>
      <c r="AS72" s="38"/>
      <c r="AT72" s="52" t="s">
        <v>186</v>
      </c>
      <c r="AU72" s="46"/>
      <c r="AV72" s="38"/>
      <c r="AW72" s="52" t="s">
        <v>186</v>
      </c>
      <c r="AX72" s="46"/>
      <c r="AY72" s="38"/>
      <c r="AZ72" s="52" t="s">
        <v>186</v>
      </c>
      <c r="BA72" s="46"/>
      <c r="BB72" s="38"/>
      <c r="BC72" s="52" t="s">
        <v>186</v>
      </c>
      <c r="BD72" s="46"/>
      <c r="BE72" s="38"/>
      <c r="BF72" s="52" t="s">
        <v>186</v>
      </c>
      <c r="BG72" s="46"/>
      <c r="BH72" s="38"/>
      <c r="BI72" s="52" t="s">
        <v>186</v>
      </c>
      <c r="BJ72" s="46"/>
      <c r="BK72" s="38"/>
      <c r="BL72" s="52" t="s">
        <v>186</v>
      </c>
      <c r="BM72" s="46"/>
      <c r="BN72" s="38"/>
      <c r="BO72" s="52" t="s">
        <v>186</v>
      </c>
      <c r="BP72" s="46"/>
      <c r="BQ72" s="38"/>
      <c r="BR72" s="52" t="s">
        <v>186</v>
      </c>
      <c r="BS72" s="46"/>
      <c r="BT72" s="38"/>
      <c r="BU72" s="52" t="s">
        <v>186</v>
      </c>
      <c r="BV72" s="46"/>
      <c r="BW72" s="38"/>
      <c r="BX72" s="52" t="s">
        <v>186</v>
      </c>
      <c r="BY72" s="46"/>
      <c r="BZ72" s="38"/>
      <c r="CA72" s="52" t="s">
        <v>186</v>
      </c>
      <c r="CB72" s="46"/>
      <c r="CC72" s="38"/>
      <c r="CD72" s="52" t="s">
        <v>186</v>
      </c>
      <c r="CE72" s="46"/>
      <c r="CF72" s="38"/>
      <c r="CG72" s="52" t="s">
        <v>186</v>
      </c>
      <c r="CH72" s="46"/>
      <c r="CI72" s="38"/>
      <c r="CJ72" s="52" t="s">
        <v>186</v>
      </c>
      <c r="CK72" s="46"/>
      <c r="CL72" s="38"/>
      <c r="CM72" s="52" t="s">
        <v>186</v>
      </c>
      <c r="CN72" s="46"/>
      <c r="CO72" s="37"/>
      <c r="CP72" s="52" t="s">
        <v>186</v>
      </c>
      <c r="CQ72" s="46"/>
    </row>
    <row r="73" spans="1:95" s="13" customFormat="1" ht="15" customHeight="1" x14ac:dyDescent="0.25">
      <c r="A73" s="62"/>
      <c r="B73" s="62" t="s">
        <v>35</v>
      </c>
      <c r="C73" s="62"/>
      <c r="D73" s="361" t="s">
        <v>216</v>
      </c>
      <c r="E73" s="365"/>
      <c r="F73" s="38" t="s">
        <v>141</v>
      </c>
      <c r="G73" s="52" t="s">
        <v>186</v>
      </c>
      <c r="H73" s="46"/>
      <c r="I73" s="38" t="s">
        <v>141</v>
      </c>
      <c r="J73" s="52" t="s">
        <v>186</v>
      </c>
      <c r="K73" s="46"/>
      <c r="L73" s="38" t="s">
        <v>141</v>
      </c>
      <c r="M73" s="52" t="s">
        <v>186</v>
      </c>
      <c r="N73" s="46"/>
      <c r="O73" s="38" t="s">
        <v>136</v>
      </c>
      <c r="P73" s="52" t="s">
        <v>186</v>
      </c>
      <c r="Q73" s="46">
        <v>0.1</v>
      </c>
      <c r="R73" s="38" t="s">
        <v>141</v>
      </c>
      <c r="S73" s="52" t="s">
        <v>186</v>
      </c>
      <c r="T73" s="46"/>
      <c r="U73" s="38" t="s">
        <v>141</v>
      </c>
      <c r="V73" s="52" t="s">
        <v>186</v>
      </c>
      <c r="W73" s="46"/>
      <c r="X73" s="38" t="s">
        <v>136</v>
      </c>
      <c r="Y73" s="52" t="s">
        <v>186</v>
      </c>
      <c r="Z73" s="46" t="s">
        <v>217</v>
      </c>
      <c r="AA73" s="38" t="s">
        <v>141</v>
      </c>
      <c r="AB73" s="52" t="s">
        <v>186</v>
      </c>
      <c r="AC73" s="46"/>
      <c r="AD73" s="38" t="s">
        <v>141</v>
      </c>
      <c r="AE73" s="52" t="s">
        <v>186</v>
      </c>
      <c r="AF73" s="46"/>
      <c r="AG73" s="38" t="s">
        <v>136</v>
      </c>
      <c r="AH73" s="52" t="s">
        <v>186</v>
      </c>
      <c r="AI73" s="46">
        <v>0.159</v>
      </c>
      <c r="AJ73" s="38" t="s">
        <v>136</v>
      </c>
      <c r="AK73" s="52" t="s">
        <v>186</v>
      </c>
      <c r="AL73" s="46">
        <v>0.159</v>
      </c>
      <c r="AM73" s="38"/>
      <c r="AN73" s="52" t="s">
        <v>186</v>
      </c>
      <c r="AO73" s="46"/>
      <c r="AP73" s="38"/>
      <c r="AQ73" s="52" t="s">
        <v>186</v>
      </c>
      <c r="AR73" s="46"/>
      <c r="AS73" s="38"/>
      <c r="AT73" s="52" t="s">
        <v>186</v>
      </c>
      <c r="AU73" s="46"/>
      <c r="AV73" s="38"/>
      <c r="AW73" s="52" t="s">
        <v>186</v>
      </c>
      <c r="AX73" s="46"/>
      <c r="AY73" s="38"/>
      <c r="AZ73" s="52" t="s">
        <v>186</v>
      </c>
      <c r="BA73" s="46"/>
      <c r="BB73" s="38"/>
      <c r="BC73" s="52" t="s">
        <v>186</v>
      </c>
      <c r="BD73" s="46"/>
      <c r="BE73" s="38"/>
      <c r="BF73" s="52" t="s">
        <v>186</v>
      </c>
      <c r="BG73" s="46"/>
      <c r="BH73" s="38"/>
      <c r="BI73" s="52" t="s">
        <v>186</v>
      </c>
      <c r="BJ73" s="46"/>
      <c r="BK73" s="38"/>
      <c r="BL73" s="52" t="s">
        <v>186</v>
      </c>
      <c r="BM73" s="46"/>
      <c r="BN73" s="38"/>
      <c r="BO73" s="52" t="s">
        <v>186</v>
      </c>
      <c r="BP73" s="46"/>
      <c r="BQ73" s="38"/>
      <c r="BR73" s="52" t="s">
        <v>186</v>
      </c>
      <c r="BS73" s="46"/>
      <c r="BT73" s="38"/>
      <c r="BU73" s="52" t="s">
        <v>186</v>
      </c>
      <c r="BV73" s="46"/>
      <c r="BW73" s="38"/>
      <c r="BX73" s="52" t="s">
        <v>186</v>
      </c>
      <c r="BY73" s="46"/>
      <c r="BZ73" s="38"/>
      <c r="CA73" s="52" t="s">
        <v>186</v>
      </c>
      <c r="CB73" s="46"/>
      <c r="CC73" s="38"/>
      <c r="CD73" s="52" t="s">
        <v>186</v>
      </c>
      <c r="CE73" s="46"/>
      <c r="CF73" s="38"/>
      <c r="CG73" s="52" t="s">
        <v>186</v>
      </c>
      <c r="CH73" s="46"/>
      <c r="CI73" s="38"/>
      <c r="CJ73" s="52" t="s">
        <v>186</v>
      </c>
      <c r="CK73" s="46"/>
      <c r="CL73" s="38"/>
      <c r="CM73" s="52" t="s">
        <v>186</v>
      </c>
      <c r="CN73" s="46"/>
      <c r="CO73" s="37"/>
      <c r="CP73" s="52" t="s">
        <v>186</v>
      </c>
      <c r="CQ73" s="46"/>
    </row>
    <row r="74" spans="1:95" s="13" customFormat="1" ht="15" customHeight="1" x14ac:dyDescent="0.25">
      <c r="A74" s="62"/>
      <c r="B74" s="62" t="s">
        <v>35</v>
      </c>
      <c r="C74" s="62"/>
      <c r="D74" s="363" t="s">
        <v>218</v>
      </c>
      <c r="E74" s="364"/>
      <c r="F74" s="38" t="s">
        <v>141</v>
      </c>
      <c r="G74" s="53" t="s">
        <v>194</v>
      </c>
      <c r="H74" s="47"/>
      <c r="I74" s="38" t="s">
        <v>141</v>
      </c>
      <c r="J74" s="53" t="s">
        <v>194</v>
      </c>
      <c r="K74" s="47"/>
      <c r="L74" s="38" t="s">
        <v>141</v>
      </c>
      <c r="M74" s="53" t="s">
        <v>194</v>
      </c>
      <c r="N74" s="47"/>
      <c r="O74" s="38" t="s">
        <v>141</v>
      </c>
      <c r="P74" s="53" t="s">
        <v>194</v>
      </c>
      <c r="Q74" s="47"/>
      <c r="R74" s="38" t="s">
        <v>141</v>
      </c>
      <c r="S74" s="53" t="s">
        <v>194</v>
      </c>
      <c r="T74" s="47"/>
      <c r="U74" s="38" t="s">
        <v>141</v>
      </c>
      <c r="V74" s="53" t="s">
        <v>194</v>
      </c>
      <c r="W74" s="47"/>
      <c r="X74" s="38" t="s">
        <v>141</v>
      </c>
      <c r="Y74" s="53" t="s">
        <v>194</v>
      </c>
      <c r="Z74" s="47"/>
      <c r="AA74" s="38" t="s">
        <v>141</v>
      </c>
      <c r="AB74" s="53" t="s">
        <v>194</v>
      </c>
      <c r="AC74" s="47"/>
      <c r="AD74" s="38" t="s">
        <v>141</v>
      </c>
      <c r="AE74" s="53" t="s">
        <v>194</v>
      </c>
      <c r="AF74" s="47"/>
      <c r="AG74" s="38" t="s">
        <v>141</v>
      </c>
      <c r="AH74" s="53" t="s">
        <v>194</v>
      </c>
      <c r="AI74" s="47"/>
      <c r="AJ74" s="38" t="s">
        <v>141</v>
      </c>
      <c r="AK74" s="53" t="s">
        <v>194</v>
      </c>
      <c r="AL74" s="47"/>
      <c r="AM74" s="38"/>
      <c r="AN74" s="53" t="s">
        <v>194</v>
      </c>
      <c r="AO74" s="47"/>
      <c r="AP74" s="38"/>
      <c r="AQ74" s="53" t="s">
        <v>194</v>
      </c>
      <c r="AR74" s="47"/>
      <c r="AS74" s="38"/>
      <c r="AT74" s="53" t="s">
        <v>194</v>
      </c>
      <c r="AU74" s="47"/>
      <c r="AV74" s="38"/>
      <c r="AW74" s="53" t="s">
        <v>194</v>
      </c>
      <c r="AX74" s="47"/>
      <c r="AY74" s="38"/>
      <c r="AZ74" s="53" t="s">
        <v>194</v>
      </c>
      <c r="BA74" s="47"/>
      <c r="BB74" s="38"/>
      <c r="BC74" s="53" t="s">
        <v>194</v>
      </c>
      <c r="BD74" s="47"/>
      <c r="BE74" s="38"/>
      <c r="BF74" s="53" t="s">
        <v>194</v>
      </c>
      <c r="BG74" s="47"/>
      <c r="BH74" s="38"/>
      <c r="BI74" s="53" t="s">
        <v>194</v>
      </c>
      <c r="BJ74" s="47"/>
      <c r="BK74" s="38"/>
      <c r="BL74" s="53" t="s">
        <v>194</v>
      </c>
      <c r="BM74" s="47"/>
      <c r="BN74" s="38"/>
      <c r="BO74" s="53" t="s">
        <v>194</v>
      </c>
      <c r="BP74" s="47"/>
      <c r="BQ74" s="38"/>
      <c r="BR74" s="53" t="s">
        <v>194</v>
      </c>
      <c r="BS74" s="47"/>
      <c r="BT74" s="38"/>
      <c r="BU74" s="53" t="s">
        <v>194</v>
      </c>
      <c r="BV74" s="47"/>
      <c r="BW74" s="38"/>
      <c r="BX74" s="53" t="s">
        <v>194</v>
      </c>
      <c r="BY74" s="47"/>
      <c r="BZ74" s="38"/>
      <c r="CA74" s="53" t="s">
        <v>194</v>
      </c>
      <c r="CB74" s="47"/>
      <c r="CC74" s="38"/>
      <c r="CD74" s="53" t="s">
        <v>194</v>
      </c>
      <c r="CE74" s="47"/>
      <c r="CF74" s="38"/>
      <c r="CG74" s="53" t="s">
        <v>194</v>
      </c>
      <c r="CH74" s="47"/>
      <c r="CI74" s="38"/>
      <c r="CJ74" s="53" t="s">
        <v>194</v>
      </c>
      <c r="CK74" s="47"/>
      <c r="CL74" s="38"/>
      <c r="CM74" s="53" t="s">
        <v>194</v>
      </c>
      <c r="CN74" s="47"/>
      <c r="CO74" s="37"/>
      <c r="CP74" s="53" t="s">
        <v>194</v>
      </c>
      <c r="CQ74" s="47"/>
    </row>
    <row r="75" spans="1:95" s="13" customFormat="1" ht="15" customHeight="1" x14ac:dyDescent="0.25">
      <c r="A75" s="62"/>
      <c r="B75" s="62" t="s">
        <v>35</v>
      </c>
      <c r="C75" s="62"/>
      <c r="D75" s="366" t="s">
        <v>219</v>
      </c>
      <c r="E75" s="367"/>
      <c r="F75" s="377"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Not evaluated</v>
      </c>
      <c r="G75" s="378"/>
      <c r="H75" s="378"/>
      <c r="I75" s="378"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Not evaluated</v>
      </c>
      <c r="J75" s="378"/>
      <c r="K75" s="378"/>
      <c r="L75" s="378"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Not evaluated</v>
      </c>
      <c r="M75" s="378"/>
      <c r="N75" s="378"/>
      <c r="O75" s="378"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Not evaluated</v>
      </c>
      <c r="P75" s="378"/>
      <c r="Q75" s="378"/>
      <c r="R75" s="378"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Not evaluated</v>
      </c>
      <c r="S75" s="378"/>
      <c r="T75" s="378"/>
      <c r="U75" s="378"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Not evaluated</v>
      </c>
      <c r="V75" s="378"/>
      <c r="W75" s="378"/>
      <c r="X75" s="378"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Not evaluated</v>
      </c>
      <c r="Y75" s="378"/>
      <c r="Z75" s="378"/>
      <c r="AA75" s="378"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Not evaluated</v>
      </c>
      <c r="AB75" s="378"/>
      <c r="AC75" s="378"/>
      <c r="AD75" s="378"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Not evaluated</v>
      </c>
      <c r="AE75" s="378"/>
      <c r="AF75" s="378"/>
      <c r="AG75" s="378"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Not evaluated</v>
      </c>
      <c r="AH75" s="378"/>
      <c r="AI75" s="378"/>
      <c r="AJ75" s="378"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Not evaluated</v>
      </c>
      <c r="AK75" s="378"/>
      <c r="AL75" s="378"/>
      <c r="AM75" s="378"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378"/>
      <c r="AO75" s="378"/>
      <c r="AP75" s="378"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378"/>
      <c r="AR75" s="378"/>
      <c r="AS75" s="378"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378"/>
      <c r="AU75" s="378"/>
      <c r="AV75" s="378"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378"/>
      <c r="AX75" s="378"/>
      <c r="AY75" s="378"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378"/>
      <c r="BA75" s="378"/>
      <c r="BB75" s="378"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378"/>
      <c r="BD75" s="378"/>
      <c r="BE75" s="378"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378"/>
      <c r="BG75" s="378"/>
      <c r="BH75" s="378"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378"/>
      <c r="BJ75" s="378"/>
      <c r="BK75" s="378"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378"/>
      <c r="BM75" s="378"/>
      <c r="BN75" s="378"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378"/>
      <c r="BP75" s="378"/>
      <c r="BQ75" s="378"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378"/>
      <c r="BS75" s="378"/>
      <c r="BT75" s="378"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378"/>
      <c r="BV75" s="378"/>
      <c r="BW75" s="378"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378"/>
      <c r="BY75" s="378"/>
      <c r="BZ75" s="378"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378"/>
      <c r="CB75" s="378"/>
      <c r="CC75" s="378"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378"/>
      <c r="CE75" s="378"/>
      <c r="CF75" s="378"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378"/>
      <c r="CH75" s="378"/>
      <c r="CI75" s="378"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378"/>
      <c r="CK75" s="378"/>
      <c r="CL75" s="378"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378"/>
      <c r="CN75" s="379"/>
      <c r="CO75" s="377"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378"/>
      <c r="CQ75" s="378"/>
    </row>
    <row r="76" spans="1:95" s="13" customFormat="1" ht="15" customHeight="1" x14ac:dyDescent="0.25">
      <c r="A76" s="62"/>
      <c r="B76" s="62" t="s">
        <v>35</v>
      </c>
      <c r="C76" s="62"/>
      <c r="D76" s="361" t="s">
        <v>220</v>
      </c>
      <c r="E76" s="365"/>
      <c r="F76" s="338" t="s">
        <v>141</v>
      </c>
      <c r="G76" s="338"/>
      <c r="H76" s="338"/>
      <c r="I76" s="338" t="s">
        <v>141</v>
      </c>
      <c r="J76" s="338"/>
      <c r="K76" s="338"/>
      <c r="L76" s="338" t="s">
        <v>141</v>
      </c>
      <c r="M76" s="338"/>
      <c r="N76" s="338"/>
      <c r="O76" s="338" t="s">
        <v>141</v>
      </c>
      <c r="P76" s="338"/>
      <c r="Q76" s="338"/>
      <c r="R76" s="338" t="s">
        <v>141</v>
      </c>
      <c r="S76" s="338"/>
      <c r="T76" s="338"/>
      <c r="U76" s="338" t="s">
        <v>141</v>
      </c>
      <c r="V76" s="338"/>
      <c r="W76" s="338"/>
      <c r="X76" s="338" t="s">
        <v>141</v>
      </c>
      <c r="Y76" s="338"/>
      <c r="Z76" s="338"/>
      <c r="AA76" s="338" t="s">
        <v>141</v>
      </c>
      <c r="AB76" s="338"/>
      <c r="AC76" s="338"/>
      <c r="AD76" s="338" t="s">
        <v>141</v>
      </c>
      <c r="AE76" s="338"/>
      <c r="AF76" s="338"/>
      <c r="AG76" s="338" t="s">
        <v>141</v>
      </c>
      <c r="AH76" s="338"/>
      <c r="AI76" s="338"/>
      <c r="AJ76" s="338" t="s">
        <v>141</v>
      </c>
      <c r="AK76" s="338"/>
      <c r="AL76" s="338"/>
      <c r="AM76" s="338"/>
      <c r="AN76" s="338"/>
      <c r="AO76" s="338"/>
      <c r="AP76" s="338"/>
      <c r="AQ76" s="338"/>
      <c r="AR76" s="338"/>
      <c r="AS76" s="338"/>
      <c r="AT76" s="338"/>
      <c r="AU76" s="338"/>
      <c r="AV76" s="338"/>
      <c r="AW76" s="338"/>
      <c r="AX76" s="338"/>
      <c r="AY76" s="338"/>
      <c r="AZ76" s="338"/>
      <c r="BA76" s="338"/>
      <c r="BB76" s="338"/>
      <c r="BC76" s="338"/>
      <c r="BD76" s="338"/>
      <c r="BE76" s="338"/>
      <c r="BF76" s="338"/>
      <c r="BG76" s="338"/>
      <c r="BH76" s="338"/>
      <c r="BI76" s="338"/>
      <c r="BJ76" s="338"/>
      <c r="BK76" s="338"/>
      <c r="BL76" s="338"/>
      <c r="BM76" s="338"/>
      <c r="BN76" s="338"/>
      <c r="BO76" s="338"/>
      <c r="BP76" s="338"/>
      <c r="BQ76" s="338"/>
      <c r="BR76" s="338"/>
      <c r="BS76" s="338"/>
      <c r="BT76" s="338"/>
      <c r="BU76" s="338"/>
      <c r="BV76" s="338"/>
      <c r="BW76" s="338"/>
      <c r="BX76" s="338"/>
      <c r="BY76" s="338"/>
      <c r="BZ76" s="338"/>
      <c r="CA76" s="338"/>
      <c r="CB76" s="338"/>
      <c r="CC76" s="338"/>
      <c r="CD76" s="338"/>
      <c r="CE76" s="338"/>
      <c r="CF76" s="338"/>
      <c r="CG76" s="338"/>
      <c r="CH76" s="338"/>
      <c r="CI76" s="338"/>
      <c r="CJ76" s="338"/>
      <c r="CK76" s="338"/>
      <c r="CL76" s="338"/>
      <c r="CM76" s="338"/>
      <c r="CN76" s="339"/>
      <c r="CO76" s="337"/>
      <c r="CP76" s="338"/>
      <c r="CQ76" s="338"/>
    </row>
    <row r="77" spans="1:95" s="13" customFormat="1" ht="15" customHeight="1" x14ac:dyDescent="0.25">
      <c r="A77" s="62"/>
      <c r="B77" s="62" t="s">
        <v>35</v>
      </c>
      <c r="C77" s="62"/>
      <c r="D77" s="363" t="s">
        <v>221</v>
      </c>
      <c r="E77" s="364"/>
      <c r="F77" s="38" t="s">
        <v>141</v>
      </c>
      <c r="G77" s="52" t="s">
        <v>194</v>
      </c>
      <c r="H77" s="192"/>
      <c r="I77" s="191" t="s">
        <v>141</v>
      </c>
      <c r="J77" s="52" t="s">
        <v>194</v>
      </c>
      <c r="K77" s="192"/>
      <c r="L77" s="191" t="s">
        <v>141</v>
      </c>
      <c r="M77" s="52" t="s">
        <v>194</v>
      </c>
      <c r="N77" s="192"/>
      <c r="O77" s="191" t="s">
        <v>141</v>
      </c>
      <c r="P77" s="52" t="s">
        <v>194</v>
      </c>
      <c r="Q77" s="192"/>
      <c r="R77" s="191" t="s">
        <v>141</v>
      </c>
      <c r="S77" s="52" t="s">
        <v>194</v>
      </c>
      <c r="T77" s="192"/>
      <c r="U77" s="191" t="s">
        <v>141</v>
      </c>
      <c r="V77" s="52" t="s">
        <v>194</v>
      </c>
      <c r="W77" s="192"/>
      <c r="X77" s="191" t="s">
        <v>141</v>
      </c>
      <c r="Y77" s="52" t="s">
        <v>194</v>
      </c>
      <c r="Z77" s="192"/>
      <c r="AA77" s="191" t="s">
        <v>141</v>
      </c>
      <c r="AB77" s="52" t="s">
        <v>194</v>
      </c>
      <c r="AC77" s="192"/>
      <c r="AD77" s="191" t="s">
        <v>141</v>
      </c>
      <c r="AE77" s="52" t="s">
        <v>194</v>
      </c>
      <c r="AF77" s="192"/>
      <c r="AG77" s="191" t="s">
        <v>141</v>
      </c>
      <c r="AH77" s="52" t="s">
        <v>194</v>
      </c>
      <c r="AI77" s="192"/>
      <c r="AJ77" s="191" t="s">
        <v>141</v>
      </c>
      <c r="AK77" s="52" t="s">
        <v>194</v>
      </c>
      <c r="AL77" s="192"/>
      <c r="AM77" s="191"/>
      <c r="AN77" s="52" t="s">
        <v>194</v>
      </c>
      <c r="AO77" s="192"/>
      <c r="AP77" s="191"/>
      <c r="AQ77" s="52" t="s">
        <v>194</v>
      </c>
      <c r="AR77" s="192"/>
      <c r="AS77" s="191"/>
      <c r="AT77" s="52" t="s">
        <v>194</v>
      </c>
      <c r="AU77" s="192"/>
      <c r="AV77" s="191"/>
      <c r="AW77" s="52" t="s">
        <v>194</v>
      </c>
      <c r="AX77" s="192"/>
      <c r="AY77" s="191"/>
      <c r="AZ77" s="52" t="s">
        <v>194</v>
      </c>
      <c r="BA77" s="192"/>
      <c r="BB77" s="191"/>
      <c r="BC77" s="52" t="s">
        <v>194</v>
      </c>
      <c r="BD77" s="192"/>
      <c r="BE77" s="191"/>
      <c r="BF77" s="52" t="s">
        <v>194</v>
      </c>
      <c r="BG77" s="192"/>
      <c r="BH77" s="191"/>
      <c r="BI77" s="52" t="s">
        <v>194</v>
      </c>
      <c r="BJ77" s="192"/>
      <c r="BK77" s="191"/>
      <c r="BL77" s="52" t="s">
        <v>194</v>
      </c>
      <c r="BM77" s="192"/>
      <c r="BN77" s="191"/>
      <c r="BO77" s="52" t="s">
        <v>194</v>
      </c>
      <c r="BP77" s="192"/>
      <c r="BQ77" s="191"/>
      <c r="BR77" s="52" t="s">
        <v>194</v>
      </c>
      <c r="BS77" s="192"/>
      <c r="BT77" s="191"/>
      <c r="BU77" s="52" t="s">
        <v>194</v>
      </c>
      <c r="BV77" s="192"/>
      <c r="BW77" s="191"/>
      <c r="BX77" s="52" t="s">
        <v>194</v>
      </c>
      <c r="BY77" s="192"/>
      <c r="BZ77" s="191"/>
      <c r="CA77" s="52" t="s">
        <v>194</v>
      </c>
      <c r="CB77" s="192"/>
      <c r="CC77" s="191"/>
      <c r="CD77" s="52" t="s">
        <v>194</v>
      </c>
      <c r="CE77" s="192"/>
      <c r="CF77" s="191"/>
      <c r="CG77" s="52" t="s">
        <v>194</v>
      </c>
      <c r="CH77" s="192"/>
      <c r="CI77" s="191"/>
      <c r="CJ77" s="52" t="s">
        <v>194</v>
      </c>
      <c r="CK77" s="192"/>
      <c r="CL77" s="191"/>
      <c r="CM77" s="52" t="s">
        <v>194</v>
      </c>
      <c r="CN77" s="192"/>
      <c r="CO77" s="190"/>
      <c r="CP77" s="52" t="s">
        <v>194</v>
      </c>
      <c r="CQ77" s="192"/>
    </row>
    <row r="78" spans="1:95" s="1" customFormat="1" ht="18.75" customHeight="1" x14ac:dyDescent="0.25">
      <c r="A78" s="355" t="s">
        <v>222</v>
      </c>
      <c r="B78" s="355"/>
      <c r="C78" s="355"/>
      <c r="D78" s="355"/>
      <c r="E78" s="355"/>
      <c r="F78" s="48">
        <f>IF(SUMMARY!$B$7=TRUE,IF(COUNTBLANK(F80:F82)&gt;0,0,1),"")</f>
        <v>1</v>
      </c>
      <c r="G78" s="49"/>
      <c r="H78" s="49"/>
      <c r="I78" s="50">
        <f>IF(SUMMARY!$B$8=TRUE,IF(COUNTBLANK(I80:I82)&gt;0,0,1),"")</f>
        <v>1</v>
      </c>
      <c r="J78" s="49"/>
      <c r="K78" s="49"/>
      <c r="L78" s="50">
        <f>IF(SUMMARY!$B$9=TRUE,IF(COUNTBLANK(L80:L82)&gt;0,0,1),"")</f>
        <v>1</v>
      </c>
      <c r="M78" s="49"/>
      <c r="N78" s="49"/>
      <c r="O78" s="50">
        <f>IF(SUMMARY!$B$10=TRUE,IF(COUNTBLANK(O80:O82)&gt;0,0,1),"")</f>
        <v>1</v>
      </c>
      <c r="P78" s="49"/>
      <c r="Q78" s="49"/>
      <c r="R78" s="50">
        <f>IF(SUMMARY!$B$11=TRUE,IF(COUNTBLANK(R80:R82)&gt;0,0,1),"")</f>
        <v>1</v>
      </c>
      <c r="S78" s="49"/>
      <c r="T78" s="49"/>
      <c r="U78" s="50">
        <f>IF(SUMMARY!$B$12=TRUE,IF(COUNTBLANK(U80:U82)&gt;0,0,1),"")</f>
        <v>1</v>
      </c>
      <c r="V78" s="49"/>
      <c r="W78" s="49"/>
      <c r="X78" s="50">
        <f>IF(SUMMARY!$B$13=TRUE,IF(COUNTBLANK(X80:X82)&gt;0,0,1),"")</f>
        <v>1</v>
      </c>
      <c r="Y78" s="49"/>
      <c r="Z78" s="49"/>
      <c r="AA78" s="50">
        <f>IF(SUMMARY!$B$14=TRUE,IF(COUNTBLANK(AA80:AA82)&gt;0,0,1),"")</f>
        <v>1</v>
      </c>
      <c r="AB78" s="49"/>
      <c r="AC78" s="49"/>
      <c r="AD78" s="50">
        <f>IF(SUMMARY!$B$15=TRUE,IF(COUNTBLANK(AD80:AD82)&gt;0,0,1),"")</f>
        <v>1</v>
      </c>
      <c r="AE78" s="49"/>
      <c r="AF78" s="49"/>
      <c r="AG78" s="50">
        <f>IF(SUMMARY!$B$16=TRUE,IF(COUNTBLANK(AG80:AG82)&gt;0,0,1),"")</f>
        <v>1</v>
      </c>
      <c r="AH78" s="49"/>
      <c r="AI78" s="49"/>
      <c r="AJ78" s="50">
        <f>IF(SUMMARY!$B$17=TRUE,IF(COUNTBLANK(AJ80:AJ82)&gt;0,0,1),"")</f>
        <v>1</v>
      </c>
      <c r="AK78" s="49"/>
      <c r="AL78" s="49"/>
      <c r="AM78" s="50">
        <f>IF(SUMMARY!$B$18=TRUE,IF(COUNTBLANK(AM80:AM82)&gt;0,0,1),"")</f>
        <v>0</v>
      </c>
      <c r="AN78" s="49"/>
      <c r="AO78" s="49"/>
      <c r="AP78" s="50">
        <f>IF(SUMMARY!$B$19=TRUE,IF(COUNTBLANK(AP80:AP82)&gt;0,0,1),"")</f>
        <v>0</v>
      </c>
      <c r="AQ78" s="49"/>
      <c r="AR78" s="49"/>
      <c r="AS78" s="50">
        <f>IF(SUMMARY!$B$20=TRUE,IF(COUNTBLANK(AS80:AS82)&gt;0,0,1),"")</f>
        <v>0</v>
      </c>
      <c r="AT78" s="49"/>
      <c r="AU78" s="49"/>
      <c r="AV78" s="50">
        <f>IF(SUMMARY!$B$21=TRUE,IF(COUNTBLANK(AV80:AV82)&gt;0,0,1),"")</f>
        <v>0</v>
      </c>
      <c r="AW78" s="49"/>
      <c r="AX78" s="49"/>
      <c r="AY78" s="50">
        <f>IF(SUMMARY!$B$22=TRUE,IF(COUNTBLANK(AY80:AY82)&gt;0,0,1),"")</f>
        <v>0</v>
      </c>
      <c r="AZ78" s="49"/>
      <c r="BA78" s="49"/>
      <c r="BB78" s="50">
        <f>IF(SUMMARY!$B$23=TRUE,IF(COUNTBLANK(BB80:BB82)&gt;0,0,1),"")</f>
        <v>0</v>
      </c>
      <c r="BC78" s="49"/>
      <c r="BD78" s="49"/>
      <c r="BE78" s="50">
        <f>IF(SUMMARY!$B$24=TRUE,IF(COUNTBLANK(BE80:BE82)&gt;0,0,1),"")</f>
        <v>0</v>
      </c>
      <c r="BF78" s="49"/>
      <c r="BG78" s="49"/>
      <c r="BH78" s="50">
        <f>IF(SUMMARY!$B$25=TRUE,IF(COUNTBLANK(BH80:BH82)&gt;0,0,1),"")</f>
        <v>0</v>
      </c>
      <c r="BI78" s="49"/>
      <c r="BJ78" s="49"/>
      <c r="BK78" s="50">
        <f>IF(SUMMARY!$B$26=TRUE,IF(COUNTBLANK(BK80:BK82)&gt;0,0,1),"")</f>
        <v>0</v>
      </c>
      <c r="BL78" s="49"/>
      <c r="BM78" s="49"/>
      <c r="BN78" s="50">
        <f>IF(SUMMARY!$B$27=TRUE,IF(COUNTBLANK(BN80:BN82)&gt;0,0,1),"")</f>
        <v>0</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35</v>
      </c>
      <c r="D79" s="349" t="s">
        <v>223</v>
      </c>
      <c r="E79" s="350"/>
      <c r="F79" s="325"/>
      <c r="G79" s="326"/>
      <c r="H79" s="326"/>
      <c r="I79" s="325"/>
      <c r="J79" s="326"/>
      <c r="K79" s="326"/>
      <c r="L79" s="325"/>
      <c r="M79" s="326"/>
      <c r="N79" s="326"/>
      <c r="O79" s="325"/>
      <c r="P79" s="326"/>
      <c r="Q79" s="326"/>
      <c r="R79" s="325"/>
      <c r="S79" s="326"/>
      <c r="T79" s="326"/>
      <c r="U79" s="325"/>
      <c r="V79" s="326"/>
      <c r="W79" s="326"/>
      <c r="X79" s="325"/>
      <c r="Y79" s="326"/>
      <c r="Z79" s="326"/>
      <c r="AA79" s="325"/>
      <c r="AB79" s="326"/>
      <c r="AC79" s="326"/>
      <c r="AD79" s="325"/>
      <c r="AE79" s="326"/>
      <c r="AF79" s="326"/>
      <c r="AG79" s="325"/>
      <c r="AH79" s="326"/>
      <c r="AI79" s="326"/>
      <c r="AJ79" s="325"/>
      <c r="AK79" s="326"/>
      <c r="AL79" s="326"/>
      <c r="AM79" s="325"/>
      <c r="AN79" s="326"/>
      <c r="AO79" s="326"/>
      <c r="AP79" s="325"/>
      <c r="AQ79" s="326"/>
      <c r="AR79" s="326"/>
      <c r="AS79" s="325"/>
      <c r="AT79" s="326"/>
      <c r="AU79" s="326"/>
      <c r="AV79" s="325"/>
      <c r="AW79" s="326"/>
      <c r="AX79" s="326"/>
      <c r="AY79" s="325"/>
      <c r="AZ79" s="326"/>
      <c r="BA79" s="326"/>
      <c r="BB79" s="325"/>
      <c r="BC79" s="326"/>
      <c r="BD79" s="326"/>
      <c r="BE79" s="325"/>
      <c r="BF79" s="326"/>
      <c r="BG79" s="326"/>
      <c r="BH79" s="325"/>
      <c r="BI79" s="326"/>
      <c r="BJ79" s="326"/>
      <c r="BK79" s="325"/>
      <c r="BL79" s="326"/>
      <c r="BM79" s="326"/>
      <c r="BN79" s="325"/>
      <c r="BO79" s="326"/>
      <c r="BP79" s="326"/>
      <c r="BQ79" s="325"/>
      <c r="BR79" s="326"/>
      <c r="BS79" s="326"/>
      <c r="BT79" s="325"/>
      <c r="BU79" s="326"/>
      <c r="BV79" s="326"/>
      <c r="BW79" s="325"/>
      <c r="BX79" s="326"/>
      <c r="BY79" s="326"/>
      <c r="BZ79" s="325"/>
      <c r="CA79" s="326"/>
      <c r="CB79" s="326"/>
      <c r="CC79" s="325"/>
      <c r="CD79" s="326"/>
      <c r="CE79" s="326"/>
      <c r="CF79" s="325"/>
      <c r="CG79" s="326"/>
      <c r="CH79" s="326"/>
      <c r="CI79" s="325"/>
      <c r="CJ79" s="326"/>
      <c r="CK79" s="326"/>
      <c r="CL79" s="325"/>
      <c r="CM79" s="326"/>
      <c r="CN79" s="326"/>
      <c r="CO79" s="325"/>
      <c r="CP79" s="326"/>
      <c r="CQ79" s="326"/>
    </row>
    <row r="80" spans="1:95" s="13" customFormat="1" ht="15" customHeight="1" x14ac:dyDescent="0.25">
      <c r="A80" s="69"/>
      <c r="B80" s="69"/>
      <c r="C80" s="69" t="s">
        <v>35</v>
      </c>
      <c r="D80" s="361" t="s">
        <v>224</v>
      </c>
      <c r="E80" s="362"/>
      <c r="F80" s="308" t="s">
        <v>225</v>
      </c>
      <c r="G80" s="309"/>
      <c r="H80" s="309"/>
      <c r="I80" s="308" t="s">
        <v>226</v>
      </c>
      <c r="J80" s="309"/>
      <c r="K80" s="309"/>
      <c r="L80" s="308" t="s">
        <v>226</v>
      </c>
      <c r="M80" s="309"/>
      <c r="N80" s="309"/>
      <c r="O80" s="308" t="s">
        <v>226</v>
      </c>
      <c r="P80" s="309"/>
      <c r="Q80" s="309"/>
      <c r="R80" s="308" t="s">
        <v>227</v>
      </c>
      <c r="S80" s="309"/>
      <c r="T80" s="309"/>
      <c r="U80" s="308" t="s">
        <v>227</v>
      </c>
      <c r="V80" s="309"/>
      <c r="W80" s="309"/>
      <c r="X80" s="308" t="s">
        <v>227</v>
      </c>
      <c r="Y80" s="309"/>
      <c r="Z80" s="309"/>
      <c r="AA80" s="308" t="s">
        <v>227</v>
      </c>
      <c r="AB80" s="309"/>
      <c r="AC80" s="309"/>
      <c r="AD80" s="308" t="s">
        <v>225</v>
      </c>
      <c r="AE80" s="309"/>
      <c r="AF80" s="309"/>
      <c r="AG80" s="308" t="s">
        <v>227</v>
      </c>
      <c r="AH80" s="309"/>
      <c r="AI80" s="309"/>
      <c r="AJ80" s="308" t="s">
        <v>227</v>
      </c>
      <c r="AK80" s="309"/>
      <c r="AL80" s="309"/>
      <c r="AM80" s="308"/>
      <c r="AN80" s="309"/>
      <c r="AO80" s="309"/>
      <c r="AP80" s="308"/>
      <c r="AQ80" s="309"/>
      <c r="AR80" s="309"/>
      <c r="AS80" s="308"/>
      <c r="AT80" s="309"/>
      <c r="AU80" s="309"/>
      <c r="AV80" s="308"/>
      <c r="AW80" s="309"/>
      <c r="AX80" s="309"/>
      <c r="AY80" s="308"/>
      <c r="AZ80" s="309"/>
      <c r="BA80" s="309"/>
      <c r="BB80" s="308"/>
      <c r="BC80" s="309"/>
      <c r="BD80" s="309"/>
      <c r="BE80" s="308"/>
      <c r="BF80" s="309"/>
      <c r="BG80" s="309"/>
      <c r="BH80" s="308"/>
      <c r="BI80" s="309"/>
      <c r="BJ80" s="309"/>
      <c r="BK80" s="308"/>
      <c r="BL80" s="309"/>
      <c r="BM80" s="309"/>
      <c r="BN80" s="308"/>
      <c r="BO80" s="309"/>
      <c r="BP80" s="309"/>
      <c r="BQ80" s="308"/>
      <c r="BR80" s="309"/>
      <c r="BS80" s="309"/>
      <c r="BT80" s="308"/>
      <c r="BU80" s="309"/>
      <c r="BV80" s="309"/>
      <c r="BW80" s="308"/>
      <c r="BX80" s="309"/>
      <c r="BY80" s="309"/>
      <c r="BZ80" s="308"/>
      <c r="CA80" s="309"/>
      <c r="CB80" s="309"/>
      <c r="CC80" s="308"/>
      <c r="CD80" s="309"/>
      <c r="CE80" s="309"/>
      <c r="CF80" s="308"/>
      <c r="CG80" s="309"/>
      <c r="CH80" s="309"/>
      <c r="CI80" s="308"/>
      <c r="CJ80" s="309"/>
      <c r="CK80" s="309"/>
      <c r="CL80" s="308"/>
      <c r="CM80" s="309"/>
      <c r="CN80" s="309"/>
      <c r="CO80" s="308"/>
      <c r="CP80" s="309"/>
      <c r="CQ80" s="309"/>
    </row>
    <row r="81" spans="1:95" s="13" customFormat="1" ht="15" customHeight="1" x14ac:dyDescent="0.25">
      <c r="A81" s="69"/>
      <c r="B81" s="69"/>
      <c r="C81" s="69" t="s">
        <v>35</v>
      </c>
      <c r="D81" s="361" t="s">
        <v>228</v>
      </c>
      <c r="E81" s="362"/>
      <c r="F81" s="308" t="s">
        <v>229</v>
      </c>
      <c r="G81" s="309"/>
      <c r="H81" s="309"/>
      <c r="I81" s="308" t="s">
        <v>229</v>
      </c>
      <c r="J81" s="309"/>
      <c r="K81" s="309"/>
      <c r="L81" s="308" t="s">
        <v>229</v>
      </c>
      <c r="M81" s="309"/>
      <c r="N81" s="309"/>
      <c r="O81" s="308" t="s">
        <v>229</v>
      </c>
      <c r="P81" s="309"/>
      <c r="Q81" s="309"/>
      <c r="R81" s="308" t="s">
        <v>230</v>
      </c>
      <c r="S81" s="309"/>
      <c r="T81" s="309"/>
      <c r="U81" s="308" t="s">
        <v>229</v>
      </c>
      <c r="V81" s="309"/>
      <c r="W81" s="309"/>
      <c r="X81" s="308" t="s">
        <v>229</v>
      </c>
      <c r="Y81" s="309"/>
      <c r="Z81" s="309"/>
      <c r="AA81" s="308" t="s">
        <v>229</v>
      </c>
      <c r="AB81" s="309"/>
      <c r="AC81" s="309"/>
      <c r="AD81" s="308" t="s">
        <v>230</v>
      </c>
      <c r="AE81" s="309"/>
      <c r="AF81" s="309"/>
      <c r="AG81" s="308" t="s">
        <v>229</v>
      </c>
      <c r="AH81" s="309"/>
      <c r="AI81" s="309"/>
      <c r="AJ81" s="308" t="s">
        <v>229</v>
      </c>
      <c r="AK81" s="309"/>
      <c r="AL81" s="309"/>
      <c r="AM81" s="308"/>
      <c r="AN81" s="309"/>
      <c r="AO81" s="309"/>
      <c r="AP81" s="308"/>
      <c r="AQ81" s="309"/>
      <c r="AR81" s="309"/>
      <c r="AS81" s="308"/>
      <c r="AT81" s="309"/>
      <c r="AU81" s="309"/>
      <c r="AV81" s="308"/>
      <c r="AW81" s="309"/>
      <c r="AX81" s="309"/>
      <c r="AY81" s="308"/>
      <c r="AZ81" s="309"/>
      <c r="BA81" s="309"/>
      <c r="BB81" s="308"/>
      <c r="BC81" s="309"/>
      <c r="BD81" s="309"/>
      <c r="BE81" s="308"/>
      <c r="BF81" s="309"/>
      <c r="BG81" s="309"/>
      <c r="BH81" s="308"/>
      <c r="BI81" s="309"/>
      <c r="BJ81" s="309"/>
      <c r="BK81" s="308"/>
      <c r="BL81" s="309"/>
      <c r="BM81" s="309"/>
      <c r="BN81" s="308"/>
      <c r="BO81" s="309"/>
      <c r="BP81" s="309"/>
      <c r="BQ81" s="308"/>
      <c r="BR81" s="309"/>
      <c r="BS81" s="309"/>
      <c r="BT81" s="308"/>
      <c r="BU81" s="309"/>
      <c r="BV81" s="309"/>
      <c r="BW81" s="308"/>
      <c r="BX81" s="309"/>
      <c r="BY81" s="309"/>
      <c r="BZ81" s="308"/>
      <c r="CA81" s="309"/>
      <c r="CB81" s="309"/>
      <c r="CC81" s="308"/>
      <c r="CD81" s="309"/>
      <c r="CE81" s="309"/>
      <c r="CF81" s="308"/>
      <c r="CG81" s="309"/>
      <c r="CH81" s="309"/>
      <c r="CI81" s="308"/>
      <c r="CJ81" s="309"/>
      <c r="CK81" s="309"/>
      <c r="CL81" s="308"/>
      <c r="CM81" s="309"/>
      <c r="CN81" s="309"/>
      <c r="CO81" s="308"/>
      <c r="CP81" s="309"/>
      <c r="CQ81" s="309"/>
    </row>
    <row r="82" spans="1:95" s="13" customFormat="1" ht="15" customHeight="1" x14ac:dyDescent="0.25">
      <c r="A82" s="58"/>
      <c r="B82" s="58" t="s">
        <v>35</v>
      </c>
      <c r="C82" s="58" t="s">
        <v>35</v>
      </c>
      <c r="D82" s="351" t="s">
        <v>231</v>
      </c>
      <c r="E82" s="352"/>
      <c r="F82" s="310" t="s">
        <v>141</v>
      </c>
      <c r="G82" s="311"/>
      <c r="H82" s="311"/>
      <c r="I82" s="310" t="s">
        <v>141</v>
      </c>
      <c r="J82" s="311"/>
      <c r="K82" s="311"/>
      <c r="L82" s="310" t="s">
        <v>141</v>
      </c>
      <c r="M82" s="311"/>
      <c r="N82" s="311"/>
      <c r="O82" s="310" t="s">
        <v>141</v>
      </c>
      <c r="P82" s="311"/>
      <c r="Q82" s="311"/>
      <c r="R82" s="310" t="s">
        <v>141</v>
      </c>
      <c r="S82" s="311"/>
      <c r="T82" s="311"/>
      <c r="U82" s="310" t="s">
        <v>141</v>
      </c>
      <c r="V82" s="311"/>
      <c r="W82" s="311"/>
      <c r="X82" s="310" t="s">
        <v>141</v>
      </c>
      <c r="Y82" s="311"/>
      <c r="Z82" s="311"/>
      <c r="AA82" s="310" t="s">
        <v>141</v>
      </c>
      <c r="AB82" s="311"/>
      <c r="AC82" s="311"/>
      <c r="AD82" s="310" t="s">
        <v>141</v>
      </c>
      <c r="AE82" s="311"/>
      <c r="AF82" s="311"/>
      <c r="AG82" s="310" t="s">
        <v>141</v>
      </c>
      <c r="AH82" s="311"/>
      <c r="AI82" s="311"/>
      <c r="AJ82" s="310" t="s">
        <v>141</v>
      </c>
      <c r="AK82" s="311"/>
      <c r="AL82" s="311"/>
      <c r="AM82" s="310"/>
      <c r="AN82" s="311"/>
      <c r="AO82" s="311"/>
      <c r="AP82" s="310"/>
      <c r="AQ82" s="311"/>
      <c r="AR82" s="311"/>
      <c r="AS82" s="310"/>
      <c r="AT82" s="311"/>
      <c r="AU82" s="311"/>
      <c r="AV82" s="310"/>
      <c r="AW82" s="311"/>
      <c r="AX82" s="311"/>
      <c r="AY82" s="310"/>
      <c r="AZ82" s="311"/>
      <c r="BA82" s="311"/>
      <c r="BB82" s="310"/>
      <c r="BC82" s="311"/>
      <c r="BD82" s="311"/>
      <c r="BE82" s="310"/>
      <c r="BF82" s="311"/>
      <c r="BG82" s="311"/>
      <c r="BH82" s="310"/>
      <c r="BI82" s="311"/>
      <c r="BJ82" s="311"/>
      <c r="BK82" s="310"/>
      <c r="BL82" s="311"/>
      <c r="BM82" s="311"/>
      <c r="BN82" s="310"/>
      <c r="BO82" s="311"/>
      <c r="BP82" s="311"/>
      <c r="BQ82" s="310"/>
      <c r="BR82" s="311"/>
      <c r="BS82" s="311"/>
      <c r="BT82" s="310"/>
      <c r="BU82" s="311"/>
      <c r="BV82" s="311"/>
      <c r="BW82" s="310"/>
      <c r="BX82" s="311"/>
      <c r="BY82" s="311"/>
      <c r="BZ82" s="310"/>
      <c r="CA82" s="311"/>
      <c r="CB82" s="311"/>
      <c r="CC82" s="310"/>
      <c r="CD82" s="311"/>
      <c r="CE82" s="311"/>
      <c r="CF82" s="310"/>
      <c r="CG82" s="311"/>
      <c r="CH82" s="311"/>
      <c r="CI82" s="310"/>
      <c r="CJ82" s="311"/>
      <c r="CK82" s="311"/>
      <c r="CL82" s="310"/>
      <c r="CM82" s="311"/>
      <c r="CN82" s="311"/>
      <c r="CO82" s="310"/>
      <c r="CP82" s="311"/>
      <c r="CQ82" s="311"/>
    </row>
    <row r="83" spans="1:95" s="1" customFormat="1" ht="21" customHeight="1" x14ac:dyDescent="0.25">
      <c r="A83" s="355" t="s">
        <v>232</v>
      </c>
      <c r="B83" s="355"/>
      <c r="C83" s="355"/>
      <c r="D83" s="355"/>
      <c r="E83" s="355"/>
      <c r="F83" s="48">
        <f>IF(SUMMARY!$B$7=TRUE,IF(COUNTBLANK(F84:F87)&gt;0,0,1),"")</f>
        <v>1</v>
      </c>
      <c r="G83" s="49"/>
      <c r="H83" s="49"/>
      <c r="I83" s="50">
        <f>IF(SUMMARY!$B$8=TRUE,IF(COUNTBLANK(I84:I87)&gt;0,0,1),"")</f>
        <v>1</v>
      </c>
      <c r="J83" s="49"/>
      <c r="K83" s="49"/>
      <c r="L83" s="50">
        <f>IF(SUMMARY!$B$9=TRUE,IF(COUNTBLANK(L84:L87)&gt;0,0,1),"")</f>
        <v>1</v>
      </c>
      <c r="M83" s="49"/>
      <c r="N83" s="49"/>
      <c r="O83" s="50">
        <f>IF(SUMMARY!$B$10=TRUE,IF(COUNTBLANK(O84:O87)&gt;0,0,1),"")</f>
        <v>1</v>
      </c>
      <c r="P83" s="49"/>
      <c r="Q83" s="49"/>
      <c r="R83" s="50">
        <f>IF(SUMMARY!$B$11=TRUE,IF(COUNTBLANK(R84:R87)&gt;0,0,1),"")</f>
        <v>1</v>
      </c>
      <c r="S83" s="49"/>
      <c r="T83" s="49"/>
      <c r="U83" s="50">
        <f>IF(SUMMARY!$B$12=TRUE,IF(COUNTBLANK(U84:U87)&gt;0,0,1),"")</f>
        <v>1</v>
      </c>
      <c r="V83" s="49"/>
      <c r="W83" s="49"/>
      <c r="X83" s="50">
        <f>IF(SUMMARY!$B$13=TRUE,IF(COUNTBLANK(X84:X87)&gt;0,0,1),"")</f>
        <v>1</v>
      </c>
      <c r="Y83" s="49"/>
      <c r="Z83" s="49"/>
      <c r="AA83" s="50">
        <f>IF(SUMMARY!$B$14=TRUE,IF(COUNTBLANK(AA84:AA87)&gt;0,0,1),"")</f>
        <v>1</v>
      </c>
      <c r="AB83" s="49"/>
      <c r="AC83" s="49"/>
      <c r="AD83" s="50">
        <f>IF(SUMMARY!$B$15=TRUE,IF(COUNTBLANK(AD84:AD87)&gt;0,0,1),"")</f>
        <v>1</v>
      </c>
      <c r="AE83" s="49"/>
      <c r="AF83" s="49"/>
      <c r="AG83" s="50">
        <f>IF(SUMMARY!$B$16=TRUE,IF(COUNTBLANK(AG84:AG87)&gt;0,0,1),"")</f>
        <v>1</v>
      </c>
      <c r="AH83" s="49"/>
      <c r="AI83" s="49"/>
      <c r="AJ83" s="50">
        <f>IF(SUMMARY!$B$17=TRUE,IF(COUNTBLANK(AJ84:AJ87)&gt;0,0,1),"")</f>
        <v>1</v>
      </c>
      <c r="AK83" s="49"/>
      <c r="AL83" s="49"/>
      <c r="AM83" s="50">
        <f>IF(SUMMARY!$B$18=TRUE,IF(COUNTBLANK(AM84:AM87)&gt;0,0,1),"")</f>
        <v>0</v>
      </c>
      <c r="AN83" s="49"/>
      <c r="AO83" s="49"/>
      <c r="AP83" s="50">
        <f>IF(SUMMARY!$B$19=TRUE,IF(COUNTBLANK(AP84:AP87)&gt;0,0,1),"")</f>
        <v>0</v>
      </c>
      <c r="AQ83" s="49"/>
      <c r="AR83" s="49"/>
      <c r="AS83" s="50">
        <f>IF(SUMMARY!$B$20=TRUE,IF(COUNTBLANK(AS84:AS87)&gt;0,0,1),"")</f>
        <v>0</v>
      </c>
      <c r="AT83" s="49"/>
      <c r="AU83" s="49"/>
      <c r="AV83" s="50">
        <f>IF(SUMMARY!$B$21=TRUE,IF(COUNTBLANK(AV84:AV87)&gt;0,0,1),"")</f>
        <v>0</v>
      </c>
      <c r="AW83" s="49"/>
      <c r="AX83" s="49"/>
      <c r="AY83" s="50">
        <f>IF(SUMMARY!$B$22=TRUE,IF(COUNTBLANK(AY84:AY87)&gt;0,0,1),"")</f>
        <v>0</v>
      </c>
      <c r="AZ83" s="49"/>
      <c r="BA83" s="49"/>
      <c r="BB83" s="50">
        <f>IF(SUMMARY!$B$23=TRUE,IF(COUNTBLANK(BB84:BB87)&gt;0,0,1),"")</f>
        <v>0</v>
      </c>
      <c r="BC83" s="49"/>
      <c r="BD83" s="49"/>
      <c r="BE83" s="50">
        <f>IF(SUMMARY!$B$24=TRUE,IF(COUNTBLANK(BE84:BE87)&gt;0,0,1),"")</f>
        <v>0</v>
      </c>
      <c r="BF83" s="49"/>
      <c r="BG83" s="49"/>
      <c r="BH83" s="50">
        <f>IF(SUMMARY!$B$25=TRUE,IF(COUNTBLANK(BH84:BH87)&gt;0,0,1),"")</f>
        <v>0</v>
      </c>
      <c r="BI83" s="49"/>
      <c r="BJ83" s="49"/>
      <c r="BK83" s="50">
        <f>IF(SUMMARY!$B$26=TRUE,IF(COUNTBLANK(BK84:BK87)&gt;0,0,1),"")</f>
        <v>0</v>
      </c>
      <c r="BL83" s="49"/>
      <c r="BM83" s="49"/>
      <c r="BN83" s="50">
        <f>IF(SUMMARY!$B$27=TRUE,IF(COUNTBLANK(BN84:BN87)&gt;0,0,1),"")</f>
        <v>0</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35</v>
      </c>
      <c r="B84" s="69"/>
      <c r="C84" s="69"/>
      <c r="D84" s="349" t="s">
        <v>233</v>
      </c>
      <c r="E84" s="350"/>
      <c r="F84" s="314">
        <v>13</v>
      </c>
      <c r="G84" s="315"/>
      <c r="H84" s="315"/>
      <c r="I84" s="314">
        <v>6</v>
      </c>
      <c r="J84" s="315"/>
      <c r="K84" s="315"/>
      <c r="L84" s="314">
        <v>7</v>
      </c>
      <c r="M84" s="315"/>
      <c r="N84" s="315"/>
      <c r="O84" s="314">
        <v>2</v>
      </c>
      <c r="P84" s="315"/>
      <c r="Q84" s="315"/>
      <c r="R84" s="314">
        <v>5</v>
      </c>
      <c r="S84" s="315"/>
      <c r="T84" s="315"/>
      <c r="U84" s="314">
        <v>3</v>
      </c>
      <c r="V84" s="315"/>
      <c r="W84" s="315"/>
      <c r="X84" s="314">
        <v>15</v>
      </c>
      <c r="Y84" s="315"/>
      <c r="Z84" s="315"/>
      <c r="AA84" s="314">
        <v>5</v>
      </c>
      <c r="AB84" s="315"/>
      <c r="AC84" s="315"/>
      <c r="AD84" s="314">
        <v>8</v>
      </c>
      <c r="AE84" s="315"/>
      <c r="AF84" s="315"/>
      <c r="AG84" s="314">
        <v>10</v>
      </c>
      <c r="AH84" s="315"/>
      <c r="AI84" s="315"/>
      <c r="AJ84" s="314">
        <v>9</v>
      </c>
      <c r="AK84" s="315"/>
      <c r="AL84" s="315"/>
      <c r="AM84" s="314"/>
      <c r="AN84" s="315"/>
      <c r="AO84" s="315"/>
      <c r="AP84" s="314"/>
      <c r="AQ84" s="315"/>
      <c r="AR84" s="315"/>
      <c r="AS84" s="314"/>
      <c r="AT84" s="315"/>
      <c r="AU84" s="315"/>
      <c r="AV84" s="314"/>
      <c r="AW84" s="315"/>
      <c r="AX84" s="315"/>
      <c r="AY84" s="314"/>
      <c r="AZ84" s="315"/>
      <c r="BA84" s="315"/>
      <c r="BB84" s="314"/>
      <c r="BC84" s="315"/>
      <c r="BD84" s="315"/>
      <c r="BE84" s="314"/>
      <c r="BF84" s="315"/>
      <c r="BG84" s="315"/>
      <c r="BH84" s="314"/>
      <c r="BI84" s="315"/>
      <c r="BJ84" s="315"/>
      <c r="BK84" s="314"/>
      <c r="BL84" s="315"/>
      <c r="BM84" s="315"/>
      <c r="BN84" s="314"/>
      <c r="BO84" s="315"/>
      <c r="BP84" s="315"/>
      <c r="BQ84" s="314"/>
      <c r="BR84" s="315"/>
      <c r="BS84" s="315"/>
      <c r="BT84" s="314"/>
      <c r="BU84" s="315"/>
      <c r="BV84" s="315"/>
      <c r="BW84" s="314"/>
      <c r="BX84" s="315"/>
      <c r="BY84" s="315"/>
      <c r="BZ84" s="314"/>
      <c r="CA84" s="315"/>
      <c r="CB84" s="315"/>
      <c r="CC84" s="314"/>
      <c r="CD84" s="315"/>
      <c r="CE84" s="315"/>
      <c r="CF84" s="314"/>
      <c r="CG84" s="315"/>
      <c r="CH84" s="315"/>
      <c r="CI84" s="314"/>
      <c r="CJ84" s="315"/>
      <c r="CK84" s="315"/>
      <c r="CL84" s="314"/>
      <c r="CM84" s="315"/>
      <c r="CN84" s="315"/>
      <c r="CO84" s="314"/>
      <c r="CP84" s="315"/>
      <c r="CQ84" s="315"/>
    </row>
    <row r="85" spans="1:95" s="13" customFormat="1" ht="15" customHeight="1" x14ac:dyDescent="0.25">
      <c r="A85" s="62" t="s">
        <v>47</v>
      </c>
      <c r="B85" s="62" t="s">
        <v>35</v>
      </c>
      <c r="C85" s="62"/>
      <c r="D85" s="347" t="s">
        <v>234</v>
      </c>
      <c r="E85" s="348"/>
      <c r="F85" s="308" t="s">
        <v>235</v>
      </c>
      <c r="G85" s="309"/>
      <c r="H85" s="309"/>
      <c r="I85" s="308" t="s">
        <v>235</v>
      </c>
      <c r="J85" s="309"/>
      <c r="K85" s="309"/>
      <c r="L85" s="308" t="s">
        <v>235</v>
      </c>
      <c r="M85" s="309"/>
      <c r="N85" s="309"/>
      <c r="O85" s="308" t="s">
        <v>235</v>
      </c>
      <c r="P85" s="309"/>
      <c r="Q85" s="309"/>
      <c r="R85" s="308" t="s">
        <v>235</v>
      </c>
      <c r="S85" s="309"/>
      <c r="T85" s="309"/>
      <c r="U85" s="308" t="s">
        <v>235</v>
      </c>
      <c r="V85" s="309"/>
      <c r="W85" s="309"/>
      <c r="X85" s="308" t="s">
        <v>235</v>
      </c>
      <c r="Y85" s="309"/>
      <c r="Z85" s="309"/>
      <c r="AA85" s="308" t="s">
        <v>235</v>
      </c>
      <c r="AB85" s="309"/>
      <c r="AC85" s="309"/>
      <c r="AD85" s="308" t="s">
        <v>235</v>
      </c>
      <c r="AE85" s="309"/>
      <c r="AF85" s="309"/>
      <c r="AG85" s="308" t="s">
        <v>236</v>
      </c>
      <c r="AH85" s="309"/>
      <c r="AI85" s="309"/>
      <c r="AJ85" s="308" t="s">
        <v>236</v>
      </c>
      <c r="AK85" s="309"/>
      <c r="AL85" s="309"/>
      <c r="AM85" s="308"/>
      <c r="AN85" s="309"/>
      <c r="AO85" s="309"/>
      <c r="AP85" s="308"/>
      <c r="AQ85" s="309"/>
      <c r="AR85" s="309"/>
      <c r="AS85" s="308"/>
      <c r="AT85" s="309"/>
      <c r="AU85" s="309"/>
      <c r="AV85" s="308"/>
      <c r="AW85" s="309"/>
      <c r="AX85" s="309"/>
      <c r="AY85" s="308"/>
      <c r="AZ85" s="309"/>
      <c r="BA85" s="309"/>
      <c r="BB85" s="308"/>
      <c r="BC85" s="309"/>
      <c r="BD85" s="309"/>
      <c r="BE85" s="308"/>
      <c r="BF85" s="309"/>
      <c r="BG85" s="309"/>
      <c r="BH85" s="308"/>
      <c r="BI85" s="309"/>
      <c r="BJ85" s="309"/>
      <c r="BK85" s="308"/>
      <c r="BL85" s="309"/>
      <c r="BM85" s="309"/>
      <c r="BN85" s="308"/>
      <c r="BO85" s="309"/>
      <c r="BP85" s="309"/>
      <c r="BQ85" s="308"/>
      <c r="BR85" s="309"/>
      <c r="BS85" s="309"/>
      <c r="BT85" s="308"/>
      <c r="BU85" s="309"/>
      <c r="BV85" s="309"/>
      <c r="BW85" s="308"/>
      <c r="BX85" s="309"/>
      <c r="BY85" s="309"/>
      <c r="BZ85" s="308"/>
      <c r="CA85" s="309"/>
      <c r="CB85" s="309"/>
      <c r="CC85" s="308"/>
      <c r="CD85" s="309"/>
      <c r="CE85" s="309"/>
      <c r="CF85" s="308"/>
      <c r="CG85" s="309"/>
      <c r="CH85" s="309"/>
      <c r="CI85" s="308"/>
      <c r="CJ85" s="309"/>
      <c r="CK85" s="309"/>
      <c r="CL85" s="308"/>
      <c r="CM85" s="309"/>
      <c r="CN85" s="309"/>
      <c r="CO85" s="308"/>
      <c r="CP85" s="309"/>
      <c r="CQ85" s="309"/>
    </row>
    <row r="86" spans="1:95" s="13" customFormat="1" ht="15" customHeight="1" x14ac:dyDescent="0.25">
      <c r="A86" s="62" t="s">
        <v>35</v>
      </c>
      <c r="B86" s="62" t="s">
        <v>35</v>
      </c>
      <c r="C86" s="62"/>
      <c r="D86" s="347" t="s">
        <v>237</v>
      </c>
      <c r="E86" s="348"/>
      <c r="F86" s="308" t="s">
        <v>141</v>
      </c>
      <c r="G86" s="309"/>
      <c r="H86" s="309"/>
      <c r="I86" s="308" t="s">
        <v>141</v>
      </c>
      <c r="J86" s="309"/>
      <c r="K86" s="309"/>
      <c r="L86" s="308" t="s">
        <v>141</v>
      </c>
      <c r="M86" s="309"/>
      <c r="N86" s="309"/>
      <c r="O86" s="308" t="s">
        <v>141</v>
      </c>
      <c r="P86" s="309"/>
      <c r="Q86" s="309"/>
      <c r="R86" s="308" t="s">
        <v>136</v>
      </c>
      <c r="S86" s="309"/>
      <c r="T86" s="309"/>
      <c r="U86" s="308" t="s">
        <v>141</v>
      </c>
      <c r="V86" s="309"/>
      <c r="W86" s="309"/>
      <c r="X86" s="308" t="s">
        <v>136</v>
      </c>
      <c r="Y86" s="309"/>
      <c r="Z86" s="309"/>
      <c r="AA86" s="308" t="s">
        <v>141</v>
      </c>
      <c r="AB86" s="309"/>
      <c r="AC86" s="309"/>
      <c r="AD86" s="308" t="s">
        <v>136</v>
      </c>
      <c r="AE86" s="309"/>
      <c r="AF86" s="309"/>
      <c r="AG86" s="308" t="s">
        <v>141</v>
      </c>
      <c r="AH86" s="309"/>
      <c r="AI86" s="309"/>
      <c r="AJ86" s="308" t="s">
        <v>141</v>
      </c>
      <c r="AK86" s="309"/>
      <c r="AL86" s="309"/>
      <c r="AM86" s="308"/>
      <c r="AN86" s="309"/>
      <c r="AO86" s="309"/>
      <c r="AP86" s="308"/>
      <c r="AQ86" s="309"/>
      <c r="AR86" s="309"/>
      <c r="AS86" s="308"/>
      <c r="AT86" s="309"/>
      <c r="AU86" s="309"/>
      <c r="AV86" s="308"/>
      <c r="AW86" s="309"/>
      <c r="AX86" s="309"/>
      <c r="AY86" s="308"/>
      <c r="AZ86" s="309"/>
      <c r="BA86" s="309"/>
      <c r="BB86" s="308"/>
      <c r="BC86" s="309"/>
      <c r="BD86" s="309"/>
      <c r="BE86" s="308"/>
      <c r="BF86" s="309"/>
      <c r="BG86" s="309"/>
      <c r="BH86" s="308"/>
      <c r="BI86" s="309"/>
      <c r="BJ86" s="309"/>
      <c r="BK86" s="308"/>
      <c r="BL86" s="309"/>
      <c r="BM86" s="309"/>
      <c r="BN86" s="308"/>
      <c r="BO86" s="309"/>
      <c r="BP86" s="309"/>
      <c r="BQ86" s="308"/>
      <c r="BR86" s="309"/>
      <c r="BS86" s="309"/>
      <c r="BT86" s="308"/>
      <c r="BU86" s="309"/>
      <c r="BV86" s="309"/>
      <c r="BW86" s="308"/>
      <c r="BX86" s="309"/>
      <c r="BY86" s="309"/>
      <c r="BZ86" s="308"/>
      <c r="CA86" s="309"/>
      <c r="CB86" s="309"/>
      <c r="CC86" s="308"/>
      <c r="CD86" s="309"/>
      <c r="CE86" s="309"/>
      <c r="CF86" s="308"/>
      <c r="CG86" s="309"/>
      <c r="CH86" s="309"/>
      <c r="CI86" s="308"/>
      <c r="CJ86" s="309"/>
      <c r="CK86" s="309"/>
      <c r="CL86" s="308"/>
      <c r="CM86" s="309"/>
      <c r="CN86" s="309"/>
      <c r="CO86" s="308"/>
      <c r="CP86" s="309"/>
      <c r="CQ86" s="309"/>
    </row>
    <row r="87" spans="1:95" s="13" customFormat="1" ht="15" customHeight="1" x14ac:dyDescent="0.25">
      <c r="A87" s="58" t="s">
        <v>35</v>
      </c>
      <c r="B87" s="58" t="s">
        <v>47</v>
      </c>
      <c r="C87" s="58"/>
      <c r="D87" s="351" t="s">
        <v>238</v>
      </c>
      <c r="E87" s="352"/>
      <c r="F87" s="310" t="s">
        <v>239</v>
      </c>
      <c r="G87" s="311"/>
      <c r="H87" s="311"/>
      <c r="I87" s="310" t="s">
        <v>239</v>
      </c>
      <c r="J87" s="311"/>
      <c r="K87" s="311"/>
      <c r="L87" s="310" t="s">
        <v>239</v>
      </c>
      <c r="M87" s="311"/>
      <c r="N87" s="311"/>
      <c r="O87" s="310" t="s">
        <v>229</v>
      </c>
      <c r="P87" s="311"/>
      <c r="Q87" s="311"/>
      <c r="R87" s="310" t="s">
        <v>239</v>
      </c>
      <c r="S87" s="311"/>
      <c r="T87" s="311"/>
      <c r="U87" s="310" t="s">
        <v>239</v>
      </c>
      <c r="V87" s="311"/>
      <c r="W87" s="311"/>
      <c r="X87" s="310" t="s">
        <v>229</v>
      </c>
      <c r="Y87" s="311"/>
      <c r="Z87" s="311"/>
      <c r="AA87" s="310" t="s">
        <v>239</v>
      </c>
      <c r="AB87" s="311"/>
      <c r="AC87" s="311"/>
      <c r="AD87" s="310" t="s">
        <v>239</v>
      </c>
      <c r="AE87" s="311"/>
      <c r="AF87" s="311"/>
      <c r="AG87" s="310" t="s">
        <v>240</v>
      </c>
      <c r="AH87" s="311"/>
      <c r="AI87" s="311"/>
      <c r="AJ87" s="310" t="s">
        <v>240</v>
      </c>
      <c r="AK87" s="311"/>
      <c r="AL87" s="311"/>
      <c r="AM87" s="310"/>
      <c r="AN87" s="311"/>
      <c r="AO87" s="311"/>
      <c r="AP87" s="310"/>
      <c r="AQ87" s="311"/>
      <c r="AR87" s="311"/>
      <c r="AS87" s="310"/>
      <c r="AT87" s="311"/>
      <c r="AU87" s="311"/>
      <c r="AV87" s="310"/>
      <c r="AW87" s="311"/>
      <c r="AX87" s="311"/>
      <c r="AY87" s="310"/>
      <c r="AZ87" s="311"/>
      <c r="BA87" s="311"/>
      <c r="BB87" s="310"/>
      <c r="BC87" s="311"/>
      <c r="BD87" s="311"/>
      <c r="BE87" s="310"/>
      <c r="BF87" s="311"/>
      <c r="BG87" s="311"/>
      <c r="BH87" s="310"/>
      <c r="BI87" s="311"/>
      <c r="BJ87" s="311"/>
      <c r="BK87" s="310"/>
      <c r="BL87" s="311"/>
      <c r="BM87" s="311"/>
      <c r="BN87" s="310"/>
      <c r="BO87" s="311"/>
      <c r="BP87" s="311"/>
      <c r="BQ87" s="310"/>
      <c r="BR87" s="311"/>
      <c r="BS87" s="311"/>
      <c r="BT87" s="310"/>
      <c r="BU87" s="311"/>
      <c r="BV87" s="311"/>
      <c r="BW87" s="310"/>
      <c r="BX87" s="311"/>
      <c r="BY87" s="311"/>
      <c r="BZ87" s="310"/>
      <c r="CA87" s="311"/>
      <c r="CB87" s="311"/>
      <c r="CC87" s="310"/>
      <c r="CD87" s="311"/>
      <c r="CE87" s="311"/>
      <c r="CF87" s="310"/>
      <c r="CG87" s="311"/>
      <c r="CH87" s="311"/>
      <c r="CI87" s="310"/>
      <c r="CJ87" s="311"/>
      <c r="CK87" s="311"/>
      <c r="CL87" s="310"/>
      <c r="CM87" s="311"/>
      <c r="CN87" s="311"/>
      <c r="CO87" s="310"/>
      <c r="CP87" s="311"/>
      <c r="CQ87" s="311"/>
    </row>
    <row r="88" spans="1:95" s="1" customFormat="1" ht="18.75" customHeight="1" x14ac:dyDescent="0.25">
      <c r="A88" s="355" t="s">
        <v>241</v>
      </c>
      <c r="B88" s="355"/>
      <c r="C88" s="355"/>
      <c r="D88" s="355"/>
      <c r="E88" s="355"/>
      <c r="F88" s="48">
        <f>IF(SUMMARY!$B$7=TRUE,IF(COUNTBLANK(F89)&gt;0,0,1),"")</f>
        <v>1</v>
      </c>
      <c r="G88" s="49"/>
      <c r="H88" s="49"/>
      <c r="I88" s="50">
        <f>IF(SUMMARY!$B$8=TRUE,IF(COUNTBLANK(I89)&gt;0,0,1),"")</f>
        <v>1</v>
      </c>
      <c r="J88" s="49"/>
      <c r="K88" s="49"/>
      <c r="L88" s="50">
        <f>IF(SUMMARY!$B$9=TRUE,IF(COUNTBLANK(L89)&gt;0,0,1),"")</f>
        <v>1</v>
      </c>
      <c r="M88" s="49"/>
      <c r="N88" s="49"/>
      <c r="O88" s="50">
        <f>IF(SUMMARY!$B$10=TRUE,IF(COUNTBLANK(O89)&gt;0,0,1),"")</f>
        <v>1</v>
      </c>
      <c r="P88" s="49"/>
      <c r="Q88" s="49"/>
      <c r="R88" s="50">
        <f>IF(SUMMARY!$B$11=TRUE,IF(COUNTBLANK(R89)&gt;0,0,1),"")</f>
        <v>1</v>
      </c>
      <c r="S88" s="49"/>
      <c r="T88" s="49"/>
      <c r="U88" s="50">
        <f>IF(SUMMARY!$B$12=TRUE,IF(COUNTBLANK(U89)&gt;0,0,1),"")</f>
        <v>1</v>
      </c>
      <c r="V88" s="49"/>
      <c r="W88" s="49"/>
      <c r="X88" s="50">
        <f>IF(SUMMARY!$B$13=TRUE,IF(COUNTBLANK(X89)&gt;0,0,1),"")</f>
        <v>1</v>
      </c>
      <c r="Y88" s="49"/>
      <c r="Z88" s="49"/>
      <c r="AA88" s="50">
        <f>IF(SUMMARY!$B$14=TRUE,IF(COUNTBLANK(AA89)&gt;0,0,1),"")</f>
        <v>1</v>
      </c>
      <c r="AB88" s="49"/>
      <c r="AC88" s="49"/>
      <c r="AD88" s="50">
        <f>IF(SUMMARY!$B$15=TRUE,IF(COUNTBLANK(AD89)&gt;0,0,1),"")</f>
        <v>1</v>
      </c>
      <c r="AE88" s="49"/>
      <c r="AF88" s="49"/>
      <c r="AG88" s="50">
        <f>IF(SUMMARY!$B$16=TRUE,IF(COUNTBLANK(AG89)&gt;0,0,1),"")</f>
        <v>1</v>
      </c>
      <c r="AH88" s="49"/>
      <c r="AI88" s="49"/>
      <c r="AJ88" s="50">
        <f>IF(SUMMARY!$B$17=TRUE,IF(COUNTBLANK(AJ89)&gt;0,0,1),"")</f>
        <v>1</v>
      </c>
      <c r="AK88" s="49"/>
      <c r="AL88" s="49"/>
      <c r="AM88" s="50">
        <f>IF(SUMMARY!$B$18=TRUE,IF(COUNTBLANK(AM89)&gt;0,0,1),"")</f>
        <v>0</v>
      </c>
      <c r="AN88" s="49"/>
      <c r="AO88" s="49"/>
      <c r="AP88" s="50">
        <f>IF(SUMMARY!$B$19=TRUE,IF(COUNTBLANK(AP89)&gt;0,0,1),"")</f>
        <v>0</v>
      </c>
      <c r="AQ88" s="49"/>
      <c r="AR88" s="49"/>
      <c r="AS88" s="50">
        <f>IF(SUMMARY!$B$20=TRUE,IF(COUNTBLANK(AS89)&gt;0,0,1),"")</f>
        <v>0</v>
      </c>
      <c r="AT88" s="49"/>
      <c r="AU88" s="49"/>
      <c r="AV88" s="50">
        <f>IF(SUMMARY!$B$21=TRUE,IF(COUNTBLANK(AV89)&gt;0,0,1),"")</f>
        <v>0</v>
      </c>
      <c r="AW88" s="49"/>
      <c r="AX88" s="49"/>
      <c r="AY88" s="50">
        <f>IF(SUMMARY!$B$22=TRUE,IF(COUNTBLANK(AY89)&gt;0,0,1),"")</f>
        <v>0</v>
      </c>
      <c r="AZ88" s="49"/>
      <c r="BA88" s="49"/>
      <c r="BB88" s="50">
        <f>IF(SUMMARY!$B$23=TRUE,IF(COUNTBLANK(BB89)&gt;0,0,1),"")</f>
        <v>0</v>
      </c>
      <c r="BC88" s="49"/>
      <c r="BD88" s="49"/>
      <c r="BE88" s="50">
        <f>IF(SUMMARY!$B$24=TRUE,IF(COUNTBLANK(BE89)&gt;0,0,1),"")</f>
        <v>0</v>
      </c>
      <c r="BF88" s="49"/>
      <c r="BG88" s="49"/>
      <c r="BH88" s="50">
        <f>IF(SUMMARY!$B$25=TRUE,IF(COUNTBLANK(BH89)&gt;0,0,1),"")</f>
        <v>0</v>
      </c>
      <c r="BI88" s="49"/>
      <c r="BJ88" s="49"/>
      <c r="BK88" s="50">
        <f>IF(SUMMARY!$B$26=TRUE,IF(COUNTBLANK(BK89)&gt;0,0,1),"")</f>
        <v>0</v>
      </c>
      <c r="BL88" s="49"/>
      <c r="BM88" s="49"/>
      <c r="BN88" s="50">
        <f>IF(SUMMARY!$B$27=TRUE,IF(COUNTBLANK(BN89)&gt;0,0,1),"")</f>
        <v>0</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35</v>
      </c>
      <c r="B89" s="72" t="s">
        <v>35</v>
      </c>
      <c r="C89" s="72"/>
      <c r="D89" s="375" t="s">
        <v>242</v>
      </c>
      <c r="E89" s="376"/>
      <c r="F89" s="335" t="s">
        <v>243</v>
      </c>
      <c r="G89" s="336"/>
      <c r="H89" s="336"/>
      <c r="I89" s="335" t="s">
        <v>244</v>
      </c>
      <c r="J89" s="336"/>
      <c r="K89" s="336"/>
      <c r="L89" s="335" t="s">
        <v>245</v>
      </c>
      <c r="M89" s="336"/>
      <c r="N89" s="336"/>
      <c r="O89" s="335" t="s">
        <v>246</v>
      </c>
      <c r="P89" s="336"/>
      <c r="Q89" s="336"/>
      <c r="R89" s="335" t="s">
        <v>247</v>
      </c>
      <c r="S89" s="336"/>
      <c r="T89" s="336"/>
      <c r="U89" s="335" t="s">
        <v>247</v>
      </c>
      <c r="V89" s="336"/>
      <c r="W89" s="336"/>
      <c r="X89" s="335" t="s">
        <v>248</v>
      </c>
      <c r="Y89" s="336"/>
      <c r="Z89" s="336"/>
      <c r="AA89" s="335" t="s">
        <v>249</v>
      </c>
      <c r="AB89" s="336"/>
      <c r="AC89" s="336"/>
      <c r="AD89" s="335" t="s">
        <v>250</v>
      </c>
      <c r="AE89" s="336"/>
      <c r="AF89" s="336"/>
      <c r="AG89" s="335" t="s">
        <v>251</v>
      </c>
      <c r="AH89" s="336"/>
      <c r="AI89" s="336"/>
      <c r="AJ89" s="335" t="s">
        <v>251</v>
      </c>
      <c r="AK89" s="336"/>
      <c r="AL89" s="336"/>
      <c r="AM89" s="335"/>
      <c r="AN89" s="336"/>
      <c r="AO89" s="336"/>
      <c r="AP89" s="335"/>
      <c r="AQ89" s="336"/>
      <c r="AR89" s="336"/>
      <c r="AS89" s="335"/>
      <c r="AT89" s="336"/>
      <c r="AU89" s="336"/>
      <c r="AV89" s="335"/>
      <c r="AW89" s="336"/>
      <c r="AX89" s="336"/>
      <c r="AY89" s="335"/>
      <c r="AZ89" s="336"/>
      <c r="BA89" s="336"/>
      <c r="BB89" s="335"/>
      <c r="BC89" s="336"/>
      <c r="BD89" s="336"/>
      <c r="BE89" s="335"/>
      <c r="BF89" s="336"/>
      <c r="BG89" s="336"/>
      <c r="BH89" s="335"/>
      <c r="BI89" s="336"/>
      <c r="BJ89" s="336"/>
      <c r="BK89" s="335"/>
      <c r="BL89" s="336"/>
      <c r="BM89" s="336"/>
      <c r="BN89" s="335"/>
      <c r="BO89" s="336"/>
      <c r="BP89" s="336"/>
      <c r="BQ89" s="335"/>
      <c r="BR89" s="336"/>
      <c r="BS89" s="336"/>
      <c r="BT89" s="335"/>
      <c r="BU89" s="336"/>
      <c r="BV89" s="336"/>
      <c r="BW89" s="335"/>
      <c r="BX89" s="336"/>
      <c r="BY89" s="336"/>
      <c r="BZ89" s="335"/>
      <c r="CA89" s="336"/>
      <c r="CB89" s="336"/>
      <c r="CC89" s="335"/>
      <c r="CD89" s="336"/>
      <c r="CE89" s="336"/>
      <c r="CF89" s="335"/>
      <c r="CG89" s="336"/>
      <c r="CH89" s="336"/>
      <c r="CI89" s="335"/>
      <c r="CJ89" s="336"/>
      <c r="CK89" s="336"/>
      <c r="CL89" s="335"/>
      <c r="CM89" s="336"/>
      <c r="CN89" s="336"/>
      <c r="CO89" s="335"/>
      <c r="CP89" s="336"/>
      <c r="CQ89" s="336"/>
    </row>
    <row r="90" spans="1:95" s="1" customFormat="1" ht="18.75" customHeight="1" x14ac:dyDescent="0.25">
      <c r="A90" s="374" t="s">
        <v>252</v>
      </c>
      <c r="B90" s="374"/>
      <c r="C90" s="374"/>
      <c r="D90" s="374"/>
      <c r="E90" s="374"/>
      <c r="F90" s="54">
        <f>IF(SUMMARY!$B$7=TRUE,IF(F91="All information has been successfully registered",1,IF(AND(ISERROR(SEARCH("items",F91))=FALSE,F92&lt;&gt;""),1,0)),"")</f>
        <v>1</v>
      </c>
      <c r="G90" s="55"/>
      <c r="H90" s="55"/>
      <c r="I90" s="54">
        <f>IF(SUMMARY!$B$8=TRUE,IF(I91="All information has been successfully registered",1,IF(AND(ISERROR(SEARCH("items",I91))=FALSE,I92&lt;&gt;""),1,0)),"")</f>
        <v>1</v>
      </c>
      <c r="J90" s="55"/>
      <c r="K90" s="55"/>
      <c r="L90" s="54">
        <f>IF(SUMMARY!$B$9=TRUE,IF(L91="All information has been successfully registered",1,IF(AND(ISERROR(SEARCH("items",L91))=FALSE,L92&lt;&gt;""),1,0)),"")</f>
        <v>1</v>
      </c>
      <c r="M90" s="55"/>
      <c r="N90" s="55"/>
      <c r="O90" s="54">
        <f>IF(SUMMARY!$B$10=TRUE,IF(O91="All information has been successfully registered",1,IF(AND(ISERROR(SEARCH("items",O91))=FALSE,O92&lt;&gt;""),1,0)),"")</f>
        <v>1</v>
      </c>
      <c r="P90" s="55"/>
      <c r="Q90" s="55"/>
      <c r="R90" s="54">
        <f>IF(SUMMARY!$B$11=TRUE,IF(R91="All information has been successfully registered",1,IF(AND(ISERROR(SEARCH("items",R91))=FALSE,R92&lt;&gt;""),1,0)),"")</f>
        <v>1</v>
      </c>
      <c r="S90" s="55"/>
      <c r="T90" s="55"/>
      <c r="U90" s="54">
        <f>IF(SUMMARY!$B$12=TRUE,IF(U91="All information has been successfully registered",1,IF(AND(ISERROR(SEARCH("items",U91))=FALSE,U92&lt;&gt;""),1,0)),"")</f>
        <v>1</v>
      </c>
      <c r="V90" s="55"/>
      <c r="W90" s="55"/>
      <c r="X90" s="54">
        <f>IF(SUMMARY!$B$13=TRUE,IF(X91="All information has been successfully registered",1,IF(AND(ISERROR(SEARCH("items",X91))=FALSE,X92&lt;&gt;""),1,0)),"")</f>
        <v>1</v>
      </c>
      <c r="Y90" s="55"/>
      <c r="Z90" s="55"/>
      <c r="AA90" s="54">
        <f>IF(SUMMARY!$B$14=TRUE,IF(AA91="All information has been successfully registered",1,IF(AND(ISERROR(SEARCH("items",AA91))=FALSE,AA92&lt;&gt;""),1,0)),"")</f>
        <v>1</v>
      </c>
      <c r="AB90" s="55"/>
      <c r="AC90" s="55"/>
      <c r="AD90" s="54">
        <f>IF(SUMMARY!$B$15=TRUE,IF(AD91="All information has been successfully registered",1,IF(AND(ISERROR(SEARCH("items",AD91))=FALSE,AD92&lt;&gt;""),1,0)),"")</f>
        <v>1</v>
      </c>
      <c r="AE90" s="55"/>
      <c r="AF90" s="55"/>
      <c r="AG90" s="54">
        <f>IF(SUMMARY!$B$16=TRUE,IF(AG91="All information has been successfully registered",1,IF(AND(ISERROR(SEARCH("items",AG91))=FALSE,AG92&lt;&gt;""),1,0)),"")</f>
        <v>1</v>
      </c>
      <c r="AH90" s="55"/>
      <c r="AI90" s="55"/>
      <c r="AJ90" s="54">
        <f>IF(SUMMARY!$B$17=TRUE,IF(AJ91="All information has been successfully registered",1,IF(AND(ISERROR(SEARCH("items",AJ91))=FALSE,AJ92&lt;&gt;""),1,0)),"")</f>
        <v>1</v>
      </c>
      <c r="AK90" s="55"/>
      <c r="AL90" s="55"/>
      <c r="AM90" s="54">
        <f>IF(SUMMARY!$B$18=TRUE,IF(AM91="All information has been successfully registered",1,IF(AND(ISERROR(SEARCH("items",AM91))=FALSE,AM92&lt;&gt;""),1,0)),"")</f>
        <v>0</v>
      </c>
      <c r="AN90" s="55"/>
      <c r="AO90" s="55"/>
      <c r="AP90" s="54">
        <f>IF(SUMMARY!$B$19=TRUE,IF(AP91="All information has been successfully registered",1,IF(AND(ISERROR(SEARCH("items",AP91))=FALSE,AP92&lt;&gt;""),1,0)),"")</f>
        <v>0</v>
      </c>
      <c r="AQ90" s="55"/>
      <c r="AR90" s="55"/>
      <c r="AS90" s="54">
        <f>IF(SUMMARY!$B$20=TRUE,IF(AS91="All information has been successfully registered",1,IF(AND(ISERROR(SEARCH("items",AS91))=FALSE,AS92&lt;&gt;""),1,0)),"")</f>
        <v>0</v>
      </c>
      <c r="AT90" s="55"/>
      <c r="AU90" s="55"/>
      <c r="AV90" s="54">
        <f>IF(SUMMARY!$B$21=TRUE,IF(AV91="All information has been successfully registered",1,IF(AND(ISERROR(SEARCH("items",AV91))=FALSE,AV92&lt;&gt;""),1,0)),"")</f>
        <v>0</v>
      </c>
      <c r="AW90" s="55"/>
      <c r="AX90" s="55"/>
      <c r="AY90" s="54">
        <f>IF(SUMMARY!$B$22=TRUE,IF(AY91="All information has been successfully registered",1,IF(AND(ISERROR(SEARCH("items",AY91))=FALSE,AY92&lt;&gt;""),1,0)),"")</f>
        <v>0</v>
      </c>
      <c r="AZ90" s="55"/>
      <c r="BA90" s="55"/>
      <c r="BB90" s="54">
        <f>IF(SUMMARY!$B$23=TRUE,IF(BB91="All information has been successfully registered",1,IF(AND(ISERROR(SEARCH("items",BB91))=FALSE,BB92&lt;&gt;""),1,0)),"")</f>
        <v>0</v>
      </c>
      <c r="BC90" s="55"/>
      <c r="BD90" s="55"/>
      <c r="BE90" s="54">
        <f>IF(SUMMARY!$B$24=TRUE,IF(BE91="All information has been successfully registered",1,IF(AND(ISERROR(SEARCH("items",BE91))=FALSE,BE92&lt;&gt;""),1,0)),"")</f>
        <v>0</v>
      </c>
      <c r="BF90" s="55"/>
      <c r="BG90" s="55"/>
      <c r="BH90" s="54">
        <f>IF(SUMMARY!$B$25=TRUE,IF(BH91="All information has been successfully registered",1,IF(AND(ISERROR(SEARCH("items",BH91))=FALSE,BH92&lt;&gt;""),1,0)),"")</f>
        <v>0</v>
      </c>
      <c r="BI90" s="55"/>
      <c r="BJ90" s="55"/>
      <c r="BK90" s="54">
        <f>IF(SUMMARY!$B$26=TRUE,IF(BK91="All information has been successfully registered",1,IF(AND(ISERROR(SEARCH("items",BK91))=FALSE,BK92&lt;&gt;""),1,0)),"")</f>
        <v>0</v>
      </c>
      <c r="BL90" s="55"/>
      <c r="BM90" s="55"/>
      <c r="BN90" s="54">
        <f>IF(SUMMARY!$B$27=TRUE,IF(BN91="All information has been successfully registered",1,IF(AND(ISERROR(SEARCH("items",BN91))=FALSE,BN92&lt;&gt;""),1,0)),"")</f>
        <v>0</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372" t="s">
        <v>253</v>
      </c>
      <c r="E91" s="373"/>
      <c r="F91" s="297" t="str">
        <f>IF(OR(F13=0,F15=0,F29=0,F37=0,F44=0,F49=0,F52=0,F57=0,F78=0,F83=0,F88=0)=TRUE,"Incomplete data extraction","All information has been successfully registered")</f>
        <v>All information has been successfully registered</v>
      </c>
      <c r="G91" s="298"/>
      <c r="H91" s="299"/>
      <c r="I91" s="297" t="str">
        <f>IF(OR(I13=0,I15=0,I29=0,I37=0,I44=0,I49=0,I52=0,I57=0,I78=0,I83=0,I88=0)=TRUE,"Incomplete data extraction","All information has been successfully registered")</f>
        <v>All information has been successfully registered</v>
      </c>
      <c r="J91" s="298"/>
      <c r="K91" s="299"/>
      <c r="L91" s="297" t="str">
        <f>IF(OR(L13=0,L15=0,L29=0,L37=0,L44=0,L49=0,L52=0,L57=0,L78=0,L83=0,L88=0)=TRUE,"Incomplete data extraction","All information has been successfully registered")</f>
        <v>All information has been successfully registered</v>
      </c>
      <c r="M91" s="298"/>
      <c r="N91" s="299"/>
      <c r="O91" s="297" t="str">
        <f>IF(OR(O13=0,O15=0,O29=0,O37=0,O44=0,O49=0,O52=0,O57=0,O78=0,O83=0,O88=0)=TRUE,"Incomplete data extraction","All information has been successfully registered")</f>
        <v>All information has been successfully registered</v>
      </c>
      <c r="P91" s="298"/>
      <c r="Q91" s="299"/>
      <c r="R91" s="297" t="str">
        <f>IF(OR(R13=0,R15=0,R29=0,R37=0,R44=0,R49=0,R52=0,R57=0,R78=0,R83=0,R88=0)=TRUE,"Incomplete data extraction","All information has been successfully registered")</f>
        <v>All information has been successfully registered</v>
      </c>
      <c r="S91" s="298"/>
      <c r="T91" s="299"/>
      <c r="U91" s="297" t="str">
        <f>IF(OR(U13=0,U15=0,U29=0,U37=0,U44=0,U49=0,U52=0,U57=0,U78=0,U83=0,U88=0)=TRUE,"Incomplete data extraction","All information has been successfully registered")</f>
        <v>All information has been successfully registered</v>
      </c>
      <c r="V91" s="298"/>
      <c r="W91" s="299"/>
      <c r="X91" s="297" t="str">
        <f>IF(OR(X13=0,X15=0,X29=0,X37=0,X44=0,X49=0,X52=0,X57=0,X78=0,X83=0,X88=0)=TRUE,"Incomplete data extraction","All information has been successfully registered")</f>
        <v>All information has been successfully registered</v>
      </c>
      <c r="Y91" s="298"/>
      <c r="Z91" s="299"/>
      <c r="AA91" s="297" t="str">
        <f>IF(OR(AA13=0,AA15=0,AA29=0,AA37=0,AA44=0,AA49=0,AA52=0,AA57=0,AA78=0,AA83=0,AA88=0)=TRUE,"Incomplete data extraction","All information has been successfully registered")</f>
        <v>All information has been successfully registered</v>
      </c>
      <c r="AB91" s="298"/>
      <c r="AC91" s="299"/>
      <c r="AD91" s="297" t="str">
        <f>IF(OR(AD13=0,AD15=0,AD29=0,AD37=0,AD44=0,AD49=0,AD52=0,AD57=0,AD78=0,AD83=0,AD88=0)=TRUE,"Incomplete data extraction","All information has been successfully registered")</f>
        <v>All information has been successfully registered</v>
      </c>
      <c r="AE91" s="298"/>
      <c r="AF91" s="299"/>
      <c r="AG91" s="297" t="str">
        <f>IF(OR(AG13=0,AG15=0,AG29=0,AG37=0,AG44=0,AG49=0,AG52=0,AG57=0,AG78=0,AG83=0,AG88=0)=TRUE,"Incomplete data extraction","All information has been successfully registered")</f>
        <v>All information has been successfully registered</v>
      </c>
      <c r="AH91" s="298"/>
      <c r="AI91" s="299"/>
      <c r="AJ91" s="297" t="str">
        <f>IF(OR(AJ13=0,AJ15=0,AJ29=0,AJ37=0,AJ44=0,AJ49=0,AJ52=0,AJ57=0,AJ78=0,AJ83=0,AJ88=0)=TRUE,"Incomplete data extraction","All information has been successfully registered")</f>
        <v>All information has been successfully registered</v>
      </c>
      <c r="AK91" s="298"/>
      <c r="AL91" s="299"/>
      <c r="AM91" s="297" t="str">
        <f>IF(OR(AM13=0,AM15=0,AM29=0,AM37=0,AM44=0,AM49=0,AM52=0,AM57=0,AM78=0,AM83=0,AM88=0)=TRUE,"Incomplete data extraction","All information has been successfully registered")</f>
        <v>Incomplete data extraction</v>
      </c>
      <c r="AN91" s="298"/>
      <c r="AO91" s="299"/>
      <c r="AP91" s="297" t="str">
        <f>IF(OR(AP13=0,AP15=0,AP29=0,AP37=0,AP44=0,AP49=0,AP52=0,AP57=0,AP78=0,AP83=0,AP88=0)=TRUE,"Incomplete data extraction","All information has been successfully registered")</f>
        <v>Incomplete data extraction</v>
      </c>
      <c r="AQ91" s="298"/>
      <c r="AR91" s="299"/>
      <c r="AS91" s="297" t="str">
        <f>IF(OR(AS13=0,AS15=0,AS29=0,AS37=0,AS44=0,AS49=0,AS52=0,AS57=0,AS78=0,AS83=0,AS88=0)=TRUE,"Incomplete data extraction","All information has been successfully registered")</f>
        <v>Incomplete data extraction</v>
      </c>
      <c r="AT91" s="298"/>
      <c r="AU91" s="299"/>
      <c r="AV91" s="297" t="str">
        <f>IF(OR(AV13=0,AV15=0,AV29=0,AV37=0,AV44=0,AV49=0,AV52=0,AV57=0,AV78=0,AV83=0,AV88=0)=TRUE,"Incomplete data extraction","All information has been successfully registered")</f>
        <v>Incomplete data extraction</v>
      </c>
      <c r="AW91" s="298"/>
      <c r="AX91" s="299"/>
      <c r="AY91" s="297" t="str">
        <f>IF(OR(AY13=0,AY15=0,AY29=0,AY37=0,AY44=0,AY49=0,AY52=0,AY57=0,AY78=0,AY83=0,AY88=0)=TRUE,"Incomplete data extraction","All information has been successfully registered")</f>
        <v>Incomplete data extraction</v>
      </c>
      <c r="AZ91" s="298"/>
      <c r="BA91" s="299"/>
      <c r="BB91" s="297" t="str">
        <f>IF(OR(BB13=0,BB15=0,BB29=0,BB37=0,BB44=0,BB49=0,BB52=0,BB57=0,BB78=0,BB83=0,BB88=0)=TRUE,"Incomplete data extraction","All information has been successfully registered")</f>
        <v>Incomplete data extraction</v>
      </c>
      <c r="BC91" s="298"/>
      <c r="BD91" s="299"/>
      <c r="BE91" s="297" t="str">
        <f>IF(OR(BE13=0,BE15=0,BE29=0,BE37=0,BE44=0,BE49=0,BE52=0,BE57=0,BE78=0,BE83=0,BE88=0)=TRUE,"Incomplete data extraction","All information has been successfully registered")</f>
        <v>Incomplete data extraction</v>
      </c>
      <c r="BF91" s="298"/>
      <c r="BG91" s="299"/>
      <c r="BH91" s="297" t="str">
        <f>IF(OR(BH13=0,BH15=0,BH29=0,BH37=0,BH44=0,BH49=0,BH52=0,BH57=0,BH78=0,BH83=0,BH88=0)=TRUE,"Incomplete data extraction","All information has been successfully registered")</f>
        <v>Incomplete data extraction</v>
      </c>
      <c r="BI91" s="298"/>
      <c r="BJ91" s="299"/>
      <c r="BK91" s="297" t="str">
        <f>IF(OR(BK13=0,BK15=0,BK29=0,BK37=0,BK44=0,BK49=0,BK52=0,BK57=0,BK78=0,BK83=0,BK88=0)=TRUE,"Incomplete data extraction","All information has been successfully registered")</f>
        <v>Incomplete data extraction</v>
      </c>
      <c r="BL91" s="298"/>
      <c r="BM91" s="299"/>
      <c r="BN91" s="297" t="str">
        <f>IF(OR(BN13=0,BN15=0,BN29=0,BN37=0,BN44=0,BN49=0,BN52=0,BN57=0,BN78=0,BN83=0,BN88=0)=TRUE,"Incomplete data extraction","All information has been successfully registered")</f>
        <v>Incomplete data extraction</v>
      </c>
      <c r="BO91" s="298"/>
      <c r="BP91" s="299"/>
      <c r="BQ91" s="297" t="str">
        <f>IF(OR(BQ13=0,BQ15=0,BQ29=0,BQ37=0,BQ44=0,BQ49=0,BQ52=0,BQ57=0,BQ78=0,BQ83=0,BQ88=0)=TRUE,"Incomplete data extraction","All information has been successfully registered")</f>
        <v>All information has been successfully registered</v>
      </c>
      <c r="BR91" s="298"/>
      <c r="BS91" s="299"/>
      <c r="BT91" s="297" t="str">
        <f>IF(OR(BT13=0,BT15=0,BT29=0,BT37=0,BT44=0,BT49=0,BT52=0,BT57=0,BT78=0,BT83=0,BT88=0)=TRUE,"Incomplete data extraction","All information has been successfully registered")</f>
        <v>All information has been successfully registered</v>
      </c>
      <c r="BU91" s="298"/>
      <c r="BV91" s="299"/>
      <c r="BW91" s="297" t="str">
        <f>IF(OR(BW13=0,BW15=0,BW29=0,BW37=0,BW44=0,BW49=0,BW52=0,BW57=0,BW78=0,BW83=0,BW88=0)=TRUE,"Incomplete data extraction","All information has been successfully registered")</f>
        <v>All information has been successfully registered</v>
      </c>
      <c r="BX91" s="298"/>
      <c r="BY91" s="299"/>
      <c r="BZ91" s="297" t="str">
        <f>IF(OR(BZ13=0,BZ15=0,BZ29=0,BZ37=0,BZ44=0,BZ49=0,BZ52=0,BZ57=0,BZ78=0,BZ83=0,BZ88=0)=TRUE,"Incomplete data extraction","All information has been successfully registered")</f>
        <v>All information has been successfully registered</v>
      </c>
      <c r="CA91" s="298"/>
      <c r="CB91" s="299"/>
      <c r="CC91" s="297" t="str">
        <f>IF(OR(CC13=0,CC15=0,CC29=0,CC37=0,CC44=0,CC49=0,CC52=0,CC57=0,CC78=0,CC83=0,CC88=0)=TRUE,"Incomplete data extraction","All information has been successfully registered")</f>
        <v>All information has been successfully registered</v>
      </c>
      <c r="CD91" s="298"/>
      <c r="CE91" s="299"/>
      <c r="CF91" s="297" t="str">
        <f>IF(OR(CF13=0,CF15=0,CF29=0,CF37=0,CF44=0,CF49=0,CF52=0,CF57=0,CF78=0,CF83=0,CF88=0)=TRUE,"Incomplete data extraction","All information has been successfully registered")</f>
        <v>All information has been successfully registered</v>
      </c>
      <c r="CG91" s="298"/>
      <c r="CH91" s="299"/>
      <c r="CI91" s="297" t="str">
        <f>IF(OR(CI13=0,CI15=0,CI29=0,CI37=0,CI44=0,CI49=0,CI52=0,CI57=0,CI78=0,CI83=0,CI88=0)=TRUE,"Incomplete data extraction","All information has been successfully registered")</f>
        <v>All information has been successfully registered</v>
      </c>
      <c r="CJ91" s="298"/>
      <c r="CK91" s="299"/>
      <c r="CL91" s="297" t="str">
        <f>IF(OR(CL13=0,CL15=0,CL29=0,CL37=0,CL44=0,CL49=0,CL52=0,CL57=0,CL78=0,CL83=0,CL88=0)=TRUE,"Incomplete data extraction","All information has been successfully registered")</f>
        <v>All information has been successfully registered</v>
      </c>
      <c r="CM91" s="298"/>
      <c r="CN91" s="299"/>
      <c r="CO91" s="297" t="str">
        <f>IF(OR(CO13=0,CO15=0,CO29=0,CO37=0,CO44=0,CO49=0,CO52=0,CO57=0,CO78=0,CO83=0,CO88=0)=TRUE,"Incomplete data extraction","All information has been successfully registered")</f>
        <v>All information has been successfully registered</v>
      </c>
      <c r="CP91" s="298"/>
      <c r="CQ91" s="298"/>
    </row>
    <row r="92" spans="1:95" s="14" customFormat="1" ht="90" customHeight="1" thickBot="1" x14ac:dyDescent="0.25">
      <c r="A92" s="75"/>
      <c r="B92" s="76"/>
      <c r="C92" s="76"/>
      <c r="D92" s="370" t="s">
        <v>254</v>
      </c>
      <c r="E92" s="371"/>
      <c r="F92" s="344" t="s">
        <v>255</v>
      </c>
      <c r="G92" s="345"/>
      <c r="H92" s="346"/>
      <c r="I92" s="344"/>
      <c r="J92" s="345"/>
      <c r="K92" s="346"/>
      <c r="L92" s="344"/>
      <c r="M92" s="345"/>
      <c r="N92" s="346"/>
      <c r="O92" s="344"/>
      <c r="P92" s="345"/>
      <c r="Q92" s="346"/>
      <c r="R92" s="344" t="s">
        <v>256</v>
      </c>
      <c r="S92" s="345"/>
      <c r="T92" s="346"/>
      <c r="U92" s="344" t="s">
        <v>256</v>
      </c>
      <c r="V92" s="345"/>
      <c r="W92" s="346"/>
      <c r="X92" s="344"/>
      <c r="Y92" s="345"/>
      <c r="Z92" s="346"/>
      <c r="AA92" s="344"/>
      <c r="AB92" s="345"/>
      <c r="AC92" s="346"/>
      <c r="AD92" s="344"/>
      <c r="AE92" s="345"/>
      <c r="AF92" s="346"/>
      <c r="AG92" s="344"/>
      <c r="AH92" s="345"/>
      <c r="AI92" s="346"/>
      <c r="AJ92" s="344"/>
      <c r="AK92" s="345"/>
      <c r="AL92" s="346"/>
      <c r="AM92" s="344"/>
      <c r="AN92" s="345"/>
      <c r="AO92" s="346"/>
      <c r="AP92" s="344"/>
      <c r="AQ92" s="345"/>
      <c r="AR92" s="346"/>
      <c r="AS92" s="344"/>
      <c r="AT92" s="345"/>
      <c r="AU92" s="346"/>
      <c r="AV92" s="344"/>
      <c r="AW92" s="345"/>
      <c r="AX92" s="346"/>
      <c r="AY92" s="344"/>
      <c r="AZ92" s="345"/>
      <c r="BA92" s="346"/>
      <c r="BB92" s="344"/>
      <c r="BC92" s="345"/>
      <c r="BD92" s="346"/>
      <c r="BE92" s="344"/>
      <c r="BF92" s="345"/>
      <c r="BG92" s="346"/>
      <c r="BH92" s="344"/>
      <c r="BI92" s="345"/>
      <c r="BJ92" s="346"/>
      <c r="BK92" s="344"/>
      <c r="BL92" s="345"/>
      <c r="BM92" s="346"/>
      <c r="BN92" s="344"/>
      <c r="BO92" s="345"/>
      <c r="BP92" s="346"/>
      <c r="BQ92" s="344"/>
      <c r="BR92" s="345"/>
      <c r="BS92" s="346"/>
      <c r="BT92" s="344"/>
      <c r="BU92" s="345"/>
      <c r="BV92" s="346"/>
      <c r="BW92" s="344"/>
      <c r="BX92" s="345"/>
      <c r="BY92" s="346"/>
      <c r="BZ92" s="344"/>
      <c r="CA92" s="345"/>
      <c r="CB92" s="346"/>
      <c r="CC92" s="344"/>
      <c r="CD92" s="345"/>
      <c r="CE92" s="346"/>
      <c r="CF92" s="344"/>
      <c r="CG92" s="345"/>
      <c r="CH92" s="346"/>
      <c r="CI92" s="344"/>
      <c r="CJ92" s="345"/>
      <c r="CK92" s="346"/>
      <c r="CL92" s="344"/>
      <c r="CM92" s="345"/>
      <c r="CN92" s="346"/>
      <c r="CO92" s="344"/>
      <c r="CP92" s="345"/>
      <c r="CQ92" s="345"/>
    </row>
    <row r="93" spans="1:95" s="82" customFormat="1" x14ac:dyDescent="0.25">
      <c r="A93" s="77" t="s">
        <v>257</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f>IF(F8="","NA",COUNTBLANK(F8:F12)+COUNTBLANK(F14)+COUNTBLANK(F16:F22)+COUNTBLANK(F30:F36)+COUNTBLANK(F38:F43)+COUNTBLANK(F45:F48)+COUNTBLANK(F50:F51)+COUNTBLANK(F53:F56)+COUNTBLANK(F58:F74)+COUNTBLANK(F79:F82)+COUNTBLANK(F84:F87)+COUNTBLANK(F89))</f>
        <v>2</v>
      </c>
      <c r="I95" s="87">
        <f>IF(I8="","NA",COUNTBLANK(I8:I12)+COUNTBLANK(I14)+COUNTBLANK(I16:I22)+COUNTBLANK(I30:I36)+COUNTBLANK(I38:I43)+COUNTBLANK(I45:I48)+COUNTBLANK(I50:I51)+COUNTBLANK(I53:I56)+COUNTBLANK(I58:I74)+COUNTBLANK(I79:I82)+COUNTBLANK(I84:I87)+COUNTBLANK(I89))</f>
        <v>3</v>
      </c>
      <c r="L95" s="87">
        <f>IF(L8="","NA",COUNTBLANK(L8:L12)+COUNTBLANK(L14)+COUNTBLANK(L16:L22)+COUNTBLANK(L30:L36)+COUNTBLANK(L38:L43)+COUNTBLANK(L45:L48)+COUNTBLANK(L50:L51)+COUNTBLANK(L53:L56)+COUNTBLANK(L58:L74)+COUNTBLANK(L79:L82)+COUNTBLANK(L84:L87)+COUNTBLANK(L89))</f>
        <v>2</v>
      </c>
      <c r="O95" s="87">
        <f>IF(O8="","NA",COUNTBLANK(O8:O12)+COUNTBLANK(O14)+COUNTBLANK(O16:O22)+COUNTBLANK(O30:O36)+COUNTBLANK(O38:O43)+COUNTBLANK(O45:O48)+COUNTBLANK(O50:O51)+COUNTBLANK(O53:O56)+COUNTBLANK(O58:O74)+COUNTBLANK(O79:O82)+COUNTBLANK(O84:O87)+COUNTBLANK(O89))</f>
        <v>2</v>
      </c>
      <c r="R95" s="87" t="e">
        <f>IF(R8="","NA",COUNTBLANK(R8:R12)+COUNTBLANK(R14)+COUNTBLANK(R16:R22)+COUNTBLANK(R30:R36)+COUNTBLANK(R38:R43)+COUNTBLANK(R45:R48)+COUNTBLANK(R50:R51)+COUNTBLANK(R53:R56)+COUNTBLANK(R58:R74)+COUNTBLANK(R79:R82)+COUNTBLANK(R84:R87)+COUNTBLANK(R89))</f>
        <v>#REF!</v>
      </c>
      <c r="U95" s="87">
        <f>IF(U8="","NA",COUNTBLANK(U8:U12)+COUNTBLANK(U14)+COUNTBLANK(U16:U22)+COUNTBLANK(U30:U36)+COUNTBLANK(U38:U43)+COUNTBLANK(U45:U48)+COUNTBLANK(U50:U51)+COUNTBLANK(U53:U56)+COUNTBLANK(U58:U74)+COUNTBLANK(U79:U82)+COUNTBLANK(U84:U87)+COUNTBLANK(U89))</f>
        <v>2</v>
      </c>
      <c r="X95" s="87">
        <f>IF(X8="","NA",COUNTBLANK(X8:X12)+COUNTBLANK(X14)+COUNTBLANK(X16:X22)+COUNTBLANK(X30:X36)+COUNTBLANK(X38:X43)+COUNTBLANK(X45:X48)+COUNTBLANK(X50:X51)+COUNTBLANK(X53:X56)+COUNTBLANK(X58:X74)+COUNTBLANK(X79:X82)+COUNTBLANK(X84:X87)+COUNTBLANK(X89))</f>
        <v>2</v>
      </c>
      <c r="AA95" s="87">
        <f>IF(AA8="","NA",COUNTBLANK(AA8:AA12)+COUNTBLANK(AA14)+COUNTBLANK(AA16:AA22)+COUNTBLANK(AA30:AA36)+COUNTBLANK(AA38:AA43)+COUNTBLANK(AA45:AA48)+COUNTBLANK(AA50:AA51)+COUNTBLANK(AA53:AA56)+COUNTBLANK(AA58:AA74)+COUNTBLANK(AA79:AA82)+COUNTBLANK(AA84:AA87)+COUNTBLANK(AA89))</f>
        <v>2</v>
      </c>
      <c r="AD95" s="87">
        <f>IF(AD8="","NA",COUNTBLANK(AD8:AD12)+COUNTBLANK(AD14)+COUNTBLANK(AD16:AD22)+COUNTBLANK(AD30:AD36)+COUNTBLANK(AD38:AD43)+COUNTBLANK(AD45:AD48)+COUNTBLANK(AD50:AD51)+COUNTBLANK(AD53:AD56)+COUNTBLANK(AD58:AD74)+COUNTBLANK(AD79:AD82)+COUNTBLANK(AD84:AD87)+COUNTBLANK(AD89))</f>
        <v>2</v>
      </c>
      <c r="AG95" s="87">
        <f>IF(AG8="","NA",COUNTBLANK(AG8:AG12)+COUNTBLANK(AG14)+COUNTBLANK(AG16:AG22)+COUNTBLANK(AG30:AG36)+COUNTBLANK(AG38:AG43)+COUNTBLANK(AG45:AG48)+COUNTBLANK(AG50:AG51)+COUNTBLANK(AG53:AG56)+COUNTBLANK(AG58:AG74)+COUNTBLANK(AG79:AG82)+COUNTBLANK(AG84:AG87)+COUNTBLANK(AG89))</f>
        <v>2</v>
      </c>
      <c r="AJ95" s="87">
        <f>IF(AJ8="","NA",COUNTBLANK(AJ8:AJ12)+COUNTBLANK(AJ14)+COUNTBLANK(AJ16:AJ22)+COUNTBLANK(AJ30:AJ36)+COUNTBLANK(AJ38:AJ43)+COUNTBLANK(AJ45:AJ48)+COUNTBLANK(AJ50:AJ51)+COUNTBLANK(AJ53:AJ56)+COUNTBLANK(AJ58:AJ74)+COUNTBLANK(AJ79:AJ82)+COUNTBLANK(AJ84:AJ87)+COUNTBLANK(AJ89))</f>
        <v>2</v>
      </c>
      <c r="AM95" s="87">
        <f>IF(AM8="","NA",COUNTBLANK(AM8:AM12)+COUNTBLANK(AM14)+COUNTBLANK(AM16:AM22)+COUNTBLANK(AM30:AM36)+COUNTBLANK(AM38:AM43)+COUNTBLANK(AM45:AM48)+COUNTBLANK(AM50:AM51)+COUNTBLANK(AM53:AM56)+COUNTBLANK(AM58:AM74)+COUNTBLANK(AM79:AM82)+COUNTBLANK(AM84:AM87)+COUNTBLANK(AM89))</f>
        <v>57</v>
      </c>
      <c r="AP95" s="87">
        <f>IF(AP8="","NA",COUNTBLANK(AP8:AP12)+COUNTBLANK(AP14)+COUNTBLANK(AP16:AP22)+COUNTBLANK(AP30:AP36)+COUNTBLANK(AP38:AP43)+COUNTBLANK(AP45:AP48)+COUNTBLANK(AP50:AP51)+COUNTBLANK(AP53:AP56)+COUNTBLANK(AP58:AP74)+COUNTBLANK(AP79:AP82)+COUNTBLANK(AP84:AP87)+COUNTBLANK(AP89))</f>
        <v>57</v>
      </c>
      <c r="AS95" s="87">
        <f>IF(AS8="","NA",COUNTBLANK(AS8:AS12)+COUNTBLANK(AS14)+COUNTBLANK(AS16:AS22)+COUNTBLANK(AS30:AS36)+COUNTBLANK(AS38:AS43)+COUNTBLANK(AS45:AS48)+COUNTBLANK(AS50:AS51)+COUNTBLANK(AS53:AS56)+COUNTBLANK(AS58:AS74)+COUNTBLANK(AS79:AS82)+COUNTBLANK(AS84:AS87)+COUNTBLANK(AS89))</f>
        <v>57</v>
      </c>
      <c r="AV95" s="87">
        <f>IF(AV8="","NA",COUNTBLANK(AV8:AV12)+COUNTBLANK(AV14)+COUNTBLANK(AV16:AV22)+COUNTBLANK(AV30:AV36)+COUNTBLANK(AV38:AV43)+COUNTBLANK(AV45:AV48)+COUNTBLANK(AV50:AV51)+COUNTBLANK(AV53:AV56)+COUNTBLANK(AV58:AV74)+COUNTBLANK(AV79:AV82)+COUNTBLANK(AV84:AV87)+COUNTBLANK(AV89))</f>
        <v>57</v>
      </c>
      <c r="AY95" s="87">
        <f>IF(AY8="","NA",COUNTBLANK(AY8:AY12)+COUNTBLANK(AY14)+COUNTBLANK(AY16:AY22)+COUNTBLANK(AY30:AY36)+COUNTBLANK(AY38:AY43)+COUNTBLANK(AY45:AY48)+COUNTBLANK(AY50:AY51)+COUNTBLANK(AY53:AY56)+COUNTBLANK(AY58:AY74)+COUNTBLANK(AY79:AY82)+COUNTBLANK(AY84:AY87)+COUNTBLANK(AY89))</f>
        <v>57</v>
      </c>
      <c r="BB95" s="87">
        <f>IF(BB8="","NA",COUNTBLANK(BB8:BB12)+COUNTBLANK(BB14)+COUNTBLANK(BB16:BB22)+COUNTBLANK(BB30:BB36)+COUNTBLANK(BB38:BB43)+COUNTBLANK(BB45:BB48)+COUNTBLANK(BB50:BB51)+COUNTBLANK(BB53:BB56)+COUNTBLANK(BB58:BB74)+COUNTBLANK(BB79:BB82)+COUNTBLANK(BB84:BB87)+COUNTBLANK(BB89))</f>
        <v>57</v>
      </c>
      <c r="BE95" s="87">
        <f>IF(BE8="","NA",COUNTBLANK(BE8:BE12)+COUNTBLANK(BE14)+COUNTBLANK(BE16:BE22)+COUNTBLANK(BE30:BE36)+COUNTBLANK(BE38:BE43)+COUNTBLANK(BE45:BE48)+COUNTBLANK(BE50:BE51)+COUNTBLANK(BE53:BE56)+COUNTBLANK(BE58:BE74)+COUNTBLANK(BE79:BE82)+COUNTBLANK(BE84:BE87)+COUNTBLANK(BE89))</f>
        <v>57</v>
      </c>
      <c r="BH95" s="87">
        <f>IF(BH8="","NA",COUNTBLANK(BH8:BH12)+COUNTBLANK(BH14)+COUNTBLANK(BH16:BH22)+COUNTBLANK(BH30:BH36)+COUNTBLANK(BH38:BH43)+COUNTBLANK(BH45:BH48)+COUNTBLANK(BH50:BH51)+COUNTBLANK(BH53:BH56)+COUNTBLANK(BH58:BH74)+COUNTBLANK(BH79:BH82)+COUNTBLANK(BH84:BH87)+COUNTBLANK(BH89))</f>
        <v>57</v>
      </c>
      <c r="BK95" s="87">
        <f>IF(BK8="","NA",COUNTBLANK(BK8:BK12)+COUNTBLANK(BK14)+COUNTBLANK(BK16:BK22)+COUNTBLANK(BK30:BK36)+COUNTBLANK(BK38:BK43)+COUNTBLANK(BK45:BK48)+COUNTBLANK(BK50:BK51)+COUNTBLANK(BK53:BK56)+COUNTBLANK(BK58:BK74)+COUNTBLANK(BK79:BK82)+COUNTBLANK(BK84:BK87)+COUNTBLANK(BK89))</f>
        <v>57</v>
      </c>
      <c r="BN95" s="87">
        <f>IF(BN8="","NA",COUNTBLANK(BN8:BN12)+COUNTBLANK(BN14)+COUNTBLANK(BN16:BN22)+COUNTBLANK(BN30:BN36)+COUNTBLANK(BN38:BN43)+COUNTBLANK(BN45:BN48)+COUNTBLANK(BN50:BN51)+COUNTBLANK(BN53:BN56)+COUNTBLANK(BN58:BN74)+COUNTBLANK(BN79:BN82)+COUNTBLANK(BN84:BN87)+COUNTBLANK(BN89))</f>
        <v>59</v>
      </c>
      <c r="BQ95" s="87">
        <f>IF(BQ8="","NA",COUNTBLANK(BQ8:BQ12)+COUNTBLANK(BQ14)+COUNTBLANK(BQ16:BQ22)+COUNTBLANK(BQ30:BQ36)+COUNTBLANK(BQ38:BQ43)+COUNTBLANK(BQ45:BQ48)+COUNTBLANK(BQ50:BQ51)+COUNTBLANK(BQ53:BQ56)+COUNTBLANK(BQ58:BQ74)+COUNTBLANK(BQ79:BQ82)+COUNTBLANK(BQ84:BQ87)+COUNTBLANK(BQ89))</f>
        <v>56</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selectLockedCells="1"/>
  <mergeCells count="2031">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s>
  <phoneticPr fontId="5" type="noConversion"/>
  <conditionalFormatting sqref="A8:C12 A14:C14 A30:C36 A38:C43 A45:C48 A50:C51 A53:C56 A79:C82 A84:C87 A89:C89 A91:C92">
    <cfRule type="containsText" dxfId="695" priority="1960" operator="containsText" text="X">
      <formula>NOT(ISERROR(SEARCH("X",A8)))</formula>
    </cfRule>
  </conditionalFormatting>
  <conditionalFormatting sqref="A16:C28">
    <cfRule type="containsText" dxfId="694" priority="1945" operator="containsText" text="X">
      <formula>NOT(ISERROR(SEARCH("X",A16)))</formula>
    </cfRule>
  </conditionalFormatting>
  <conditionalFormatting sqref="A58:C77">
    <cfRule type="containsText" dxfId="693" priority="1490" operator="containsText" text="X">
      <formula>NOT(ISERROR(SEARCH("X",A58)))</formula>
    </cfRule>
  </conditionalFormatting>
  <conditionalFormatting sqref="D24:D28">
    <cfRule type="expression" dxfId="692" priority="634">
      <formula>E24&lt;&gt;""</formula>
    </cfRule>
  </conditionalFormatting>
  <conditionalFormatting sqref="F60:F61">
    <cfRule type="expression" dxfId="691" priority="1451">
      <formula>F60=""</formula>
    </cfRule>
  </conditionalFormatting>
  <conditionalFormatting sqref="F63">
    <cfRule type="expression" dxfId="690" priority="1452">
      <formula>F63=""</formula>
    </cfRule>
  </conditionalFormatting>
  <conditionalFormatting sqref="F65:F66">
    <cfRule type="expression" dxfId="689" priority="1450">
      <formula>F65=""</formula>
    </cfRule>
  </conditionalFormatting>
  <conditionalFormatting sqref="F70">
    <cfRule type="expression" dxfId="688" priority="1449">
      <formula>F70=""</formula>
    </cfRule>
  </conditionalFormatting>
  <conditionalFormatting sqref="F72:F74">
    <cfRule type="expression" dxfId="687" priority="1446">
      <formula>F72=""</formula>
    </cfRule>
  </conditionalFormatting>
  <conditionalFormatting sqref="F77">
    <cfRule type="expression" dxfId="686" priority="32">
      <formula>F77=""</formula>
    </cfRule>
  </conditionalFormatting>
  <conditionalFormatting sqref="F90 I90 L90 O90 R90 U90 X90 AA90 AD90 AG90 AJ90 AM90 AP90 AS90 AV90 AY90 BB90 BE90 BH90 BK90 BN90 BQ90 BT90 BW90 BZ90 CC90 CF90 CI90 CL90 CO90">
    <cfRule type="iconSet" priority="896">
      <iconSet iconSet="3Symbols" showValue="0">
        <cfvo type="percent" val="0"/>
        <cfvo type="num" val="0"/>
        <cfvo type="num" val="1"/>
      </iconSet>
    </cfRule>
  </conditionalFormatting>
  <conditionalFormatting sqref="F76:I76">
    <cfRule type="expression" dxfId="684" priority="540">
      <formula>F76=""</formula>
    </cfRule>
  </conditionalFormatting>
  <conditionalFormatting sqref="F14:CQ14">
    <cfRule type="expression" dxfId="683" priority="1609">
      <formula>F14=""</formula>
    </cfRule>
  </conditionalFormatting>
  <conditionalFormatting sqref="F16:CQ22">
    <cfRule type="expression" dxfId="682" priority="1608">
      <formula>F16=""</formula>
    </cfRule>
  </conditionalFormatting>
  <conditionalFormatting sqref="F24:CQ24">
    <cfRule type="expression" dxfId="681" priority="809">
      <formula>$E$24&lt;&gt;""</formula>
    </cfRule>
  </conditionalFormatting>
  <conditionalFormatting sqref="F24:CQ28">
    <cfRule type="expression" dxfId="680" priority="534">
      <formula>F24&lt;&gt;""</formula>
    </cfRule>
  </conditionalFormatting>
  <conditionalFormatting sqref="F25:CQ25">
    <cfRule type="expression" dxfId="679" priority="784">
      <formula>$E$25&lt;&gt;""</formula>
    </cfRule>
  </conditionalFormatting>
  <conditionalFormatting sqref="F26:CQ26">
    <cfRule type="expression" dxfId="678" priority="779">
      <formula>$E$26&lt;&gt;""</formula>
    </cfRule>
  </conditionalFormatting>
  <conditionalFormatting sqref="F27:CQ27">
    <cfRule type="expression" dxfId="677" priority="774">
      <formula>$E$27&lt;&gt;""</formula>
    </cfRule>
  </conditionalFormatting>
  <conditionalFormatting sqref="F28:CQ28">
    <cfRule type="expression" dxfId="676" priority="769">
      <formula>$E$28&lt;&gt;""</formula>
    </cfRule>
  </conditionalFormatting>
  <conditionalFormatting sqref="F30:CQ36">
    <cfRule type="expression" dxfId="675" priority="1602">
      <formula>F30=""</formula>
    </cfRule>
  </conditionalFormatting>
  <conditionalFormatting sqref="F38:CQ38">
    <cfRule type="expression" dxfId="674" priority="1601">
      <formula>F38=0</formula>
    </cfRule>
  </conditionalFormatting>
  <conditionalFormatting sqref="F38:CQ43">
    <cfRule type="expression" dxfId="673" priority="881">
      <formula>F38=""</formula>
    </cfRule>
  </conditionalFormatting>
  <conditionalFormatting sqref="F45:CQ46">
    <cfRule type="expression" dxfId="672" priority="1600">
      <formula>F45=0</formula>
    </cfRule>
  </conditionalFormatting>
  <conditionalFormatting sqref="F45:CQ47">
    <cfRule type="expression" dxfId="671" priority="879">
      <formula>F45=""</formula>
    </cfRule>
  </conditionalFormatting>
  <conditionalFormatting sqref="F50:CQ51">
    <cfRule type="expression" dxfId="670" priority="1607">
      <formula>F50=""</formula>
    </cfRule>
  </conditionalFormatting>
  <conditionalFormatting sqref="F53:CQ56">
    <cfRule type="expression" dxfId="669" priority="1597">
      <formula>F53=""</formula>
    </cfRule>
  </conditionalFormatting>
  <conditionalFormatting sqref="F59:CQ59">
    <cfRule type="expression" dxfId="668" priority="1606">
      <formula>F59=""</formula>
    </cfRule>
  </conditionalFormatting>
  <conditionalFormatting sqref="F62:CQ62">
    <cfRule type="expression" dxfId="667" priority="1605">
      <formula>F62=""</formula>
    </cfRule>
  </conditionalFormatting>
  <conditionalFormatting sqref="F67:CQ69">
    <cfRule type="expression" dxfId="666" priority="1604">
      <formula>F67=""</formula>
    </cfRule>
  </conditionalFormatting>
  <conditionalFormatting sqref="F80:CQ82">
    <cfRule type="expression" dxfId="665" priority="1603">
      <formula>F80=""</formula>
    </cfRule>
  </conditionalFormatting>
  <conditionalFormatting sqref="F84:CQ87">
    <cfRule type="expression" dxfId="664" priority="1488">
      <formula>F84=""</formula>
    </cfRule>
  </conditionalFormatting>
  <conditionalFormatting sqref="F89:CQ89">
    <cfRule type="expression" dxfId="663" priority="1020">
      <formula>F89=""</formula>
    </cfRule>
  </conditionalFormatting>
  <conditionalFormatting sqref="F91:CQ91">
    <cfRule type="containsText" dxfId="662" priority="1" operator="containsText" text="Incomplete">
      <formula>NOT(ISERROR(SEARCH("Incomplete",F91)))</formula>
    </cfRule>
  </conditionalFormatting>
  <conditionalFormatting sqref="F92:CQ92">
    <cfRule type="expression" dxfId="661" priority="33">
      <formula>F$92&lt;&gt;""</formula>
    </cfRule>
    <cfRule type="expression" dxfId="660" priority="885">
      <formula>ISERROR(SEARCH("items",F91))=FALSE</formula>
    </cfRule>
  </conditionalFormatting>
  <conditionalFormatting sqref="H60:H61">
    <cfRule type="expression" dxfId="659" priority="1439">
      <formula>AND(F60="Yes",H60&lt;&gt;"")</formula>
    </cfRule>
    <cfRule type="expression" dxfId="658" priority="1440">
      <formula>F60="Yes"</formula>
    </cfRule>
  </conditionalFormatting>
  <conditionalFormatting sqref="H63">
    <cfRule type="expression" dxfId="657" priority="1437">
      <formula>AND(F63="Yes",H63&lt;&gt;"")</formula>
    </cfRule>
    <cfRule type="expression" dxfId="656" priority="1438">
      <formula>F63="Yes"</formula>
    </cfRule>
  </conditionalFormatting>
  <conditionalFormatting sqref="H65:H66">
    <cfRule type="expression" dxfId="655" priority="1435">
      <formula>AND(F65="Yes",H65&lt;&gt;"")</formula>
    </cfRule>
    <cfRule type="expression" dxfId="654" priority="1436">
      <formula>F65="Yes"</formula>
    </cfRule>
  </conditionalFormatting>
  <conditionalFormatting sqref="H70">
    <cfRule type="expression" dxfId="653" priority="1433">
      <formula>AND(F70="Yes",H70&lt;&gt;"")</formula>
    </cfRule>
    <cfRule type="expression" dxfId="652" priority="1434">
      <formula>F70="Yes"</formula>
    </cfRule>
  </conditionalFormatting>
  <conditionalFormatting sqref="H72:H74 H77">
    <cfRule type="expression" dxfId="651" priority="1431">
      <formula>AND(F72="Yes",H72&lt;&gt;"")</formula>
    </cfRule>
    <cfRule type="expression" dxfId="650" priority="1432">
      <formula>F72="Yes"</formula>
    </cfRule>
  </conditionalFormatting>
  <conditionalFormatting sqref="I29">
    <cfRule type="iconSet" priority="573">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24">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894">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891">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889">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20">
      <iconSet iconSet="3Symbols" showValue="0">
        <cfvo type="percent" val="0"/>
        <cfvo type="num" val="0"/>
        <cfvo type="num" val="1"/>
      </iconSet>
    </cfRule>
  </conditionalFormatting>
  <conditionalFormatting sqref="I60:I61">
    <cfRule type="expression" dxfId="649" priority="1428">
      <formula>I60=""</formula>
    </cfRule>
  </conditionalFormatting>
  <conditionalFormatting sqref="I63">
    <cfRule type="expression" dxfId="648" priority="1430">
      <formula>I63=""</formula>
    </cfRule>
  </conditionalFormatting>
  <conditionalFormatting sqref="I65:I66">
    <cfRule type="expression" dxfId="647" priority="1313">
      <formula>I65=""</formula>
    </cfRule>
  </conditionalFormatting>
  <conditionalFormatting sqref="I70">
    <cfRule type="expression" dxfId="646" priority="1427">
      <formula>I70=""</formula>
    </cfRule>
  </conditionalFormatting>
  <conditionalFormatting sqref="I72:I73">
    <cfRule type="expression" dxfId="645" priority="1223">
      <formula>I72=""</formula>
    </cfRule>
  </conditionalFormatting>
  <conditionalFormatting sqref="I77">
    <cfRule type="expression" dxfId="644" priority="875">
      <formula>$I$77=""</formula>
    </cfRule>
  </conditionalFormatting>
  <conditionalFormatting sqref="I78 L78 O78 R78 U78 X78 AA78 AD78 AG78 AJ78 AM78 AP78 AS78 AV78 AY78 BB78 BE78 BH78 BK78 BN78 BQ78 BT78 BW78 BZ78 CC78 CF78 CI78 CL78 CO78">
    <cfRule type="iconSet" priority="887">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18">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17">
      <iconSet iconSet="3Symbols" showValue="0">
        <cfvo type="percent" val="0"/>
        <cfvo type="num" val="0"/>
        <cfvo type="num" val="1"/>
      </iconSet>
    </cfRule>
  </conditionalFormatting>
  <conditionalFormatting sqref="K60:K61">
    <cfRule type="expression" dxfId="641" priority="530">
      <formula>AND(I60="Yes",K60&lt;&gt;"")</formula>
    </cfRule>
    <cfRule type="expression" dxfId="640" priority="531">
      <formula>I60="Yes"</formula>
    </cfRule>
  </conditionalFormatting>
  <conditionalFormatting sqref="K63">
    <cfRule type="expression" dxfId="639" priority="382">
      <formula>AND(I63="Yes",K63&lt;&gt;"")</formula>
    </cfRule>
    <cfRule type="expression" dxfId="638" priority="383">
      <formula>I63="Yes"</formula>
    </cfRule>
  </conditionalFormatting>
  <conditionalFormatting sqref="K65:K66">
    <cfRule type="expression" dxfId="637" priority="295">
      <formula>AND(I65="Yes",K65&lt;&gt;"")</formula>
    </cfRule>
    <cfRule type="expression" dxfId="636" priority="296">
      <formula>I65="Yes"</formula>
    </cfRule>
  </conditionalFormatting>
  <conditionalFormatting sqref="K70">
    <cfRule type="expression" dxfId="635" priority="208">
      <formula>AND(I70="Yes",K70&lt;&gt;"")</formula>
    </cfRule>
    <cfRule type="expression" dxfId="634" priority="209">
      <formula>I70="Yes"</formula>
    </cfRule>
  </conditionalFormatting>
  <conditionalFormatting sqref="K72:K74 K77">
    <cfRule type="expression" dxfId="633" priority="121">
      <formula>AND(I72="Yes",K72&lt;&gt;"")</formula>
    </cfRule>
    <cfRule type="expression" dxfId="632" priority="122">
      <formula>I72="Yes"</formula>
    </cfRule>
  </conditionalFormatting>
  <conditionalFormatting sqref="L29">
    <cfRule type="iconSet" priority="571">
      <iconSet iconSet="3Symbols" showValue="0">
        <cfvo type="percent" val="0"/>
        <cfvo type="num" val="0"/>
        <cfvo type="num" val="1"/>
      </iconSet>
    </cfRule>
  </conditionalFormatting>
  <conditionalFormatting sqref="L60:L61">
    <cfRule type="expression" dxfId="631" priority="1425">
      <formula>L60=""</formula>
    </cfRule>
  </conditionalFormatting>
  <conditionalFormatting sqref="L63">
    <cfRule type="expression" dxfId="630" priority="1424">
      <formula>L63=""</formula>
    </cfRule>
  </conditionalFormatting>
  <conditionalFormatting sqref="L65:L66">
    <cfRule type="expression" dxfId="629" priority="1341">
      <formula>L65=""</formula>
    </cfRule>
  </conditionalFormatting>
  <conditionalFormatting sqref="L70">
    <cfRule type="expression" dxfId="628" priority="1309">
      <formula>L70=""</formula>
    </cfRule>
  </conditionalFormatting>
  <conditionalFormatting sqref="L72:L73">
    <cfRule type="expression" dxfId="627" priority="1219">
      <formula>L72=""</formula>
    </cfRule>
  </conditionalFormatting>
  <conditionalFormatting sqref="L76">
    <cfRule type="expression" dxfId="626" priority="1218">
      <formula>L76=""</formula>
    </cfRule>
  </conditionalFormatting>
  <conditionalFormatting sqref="L77">
    <cfRule type="expression" dxfId="625" priority="873">
      <formula>$L$77=""</formula>
    </cfRule>
  </conditionalFormatting>
  <conditionalFormatting sqref="N60:N61">
    <cfRule type="expression" dxfId="623" priority="525">
      <formula>AND(L60="Yes",N60&lt;&gt;"")</formula>
    </cfRule>
    <cfRule type="expression" dxfId="622" priority="526">
      <formula>L60="Yes"</formula>
    </cfRule>
  </conditionalFormatting>
  <conditionalFormatting sqref="N63">
    <cfRule type="expression" dxfId="621" priority="379">
      <formula>AND(L63="Yes",N63&lt;&gt;"")</formula>
    </cfRule>
    <cfRule type="expression" dxfId="620" priority="380">
      <formula>L63="Yes"</formula>
    </cfRule>
  </conditionalFormatting>
  <conditionalFormatting sqref="N65:N66">
    <cfRule type="expression" dxfId="619" priority="292">
      <formula>AND(L65="Yes",N65&lt;&gt;"")</formula>
    </cfRule>
    <cfRule type="expression" dxfId="618" priority="293">
      <formula>L65="Yes"</formula>
    </cfRule>
  </conditionalFormatting>
  <conditionalFormatting sqref="N70">
    <cfRule type="expression" dxfId="617" priority="205">
      <formula>AND(L70="Yes",N70&lt;&gt;"")</formula>
    </cfRule>
    <cfRule type="expression" dxfId="616" priority="206">
      <formula>L70="Yes"</formula>
    </cfRule>
  </conditionalFormatting>
  <conditionalFormatting sqref="N72:N74 N77">
    <cfRule type="expression" dxfId="615" priority="118">
      <formula>AND(L72="Yes",N72&lt;&gt;"")</formula>
    </cfRule>
    <cfRule type="expression" dxfId="614" priority="119">
      <formula>L72="Yes"</formula>
    </cfRule>
  </conditionalFormatting>
  <conditionalFormatting sqref="O29">
    <cfRule type="iconSet" priority="570">
      <iconSet iconSet="3Symbols" showValue="0">
        <cfvo type="percent" val="0"/>
        <cfvo type="num" val="0"/>
        <cfvo type="num" val="1"/>
      </iconSet>
    </cfRule>
  </conditionalFormatting>
  <conditionalFormatting sqref="O60:O61">
    <cfRule type="expression" dxfId="613" priority="1422">
      <formula>O60=""</formula>
    </cfRule>
  </conditionalFormatting>
  <conditionalFormatting sqref="O63">
    <cfRule type="expression" dxfId="612" priority="1421">
      <formula>O63=""</formula>
    </cfRule>
  </conditionalFormatting>
  <conditionalFormatting sqref="O65:O66">
    <cfRule type="expression" dxfId="611" priority="1340">
      <formula>O65=""</formula>
    </cfRule>
  </conditionalFormatting>
  <conditionalFormatting sqref="O70">
    <cfRule type="expression" dxfId="610" priority="1308">
      <formula>O70=""</formula>
    </cfRule>
  </conditionalFormatting>
  <conditionalFormatting sqref="O72:O73">
    <cfRule type="expression" dxfId="609" priority="1215">
      <formula>O72=""</formula>
    </cfRule>
  </conditionalFormatting>
  <conditionalFormatting sqref="O76">
    <cfRule type="expression" dxfId="608" priority="1214">
      <formula>O76=""</formula>
    </cfRule>
  </conditionalFormatting>
  <conditionalFormatting sqref="O77">
    <cfRule type="expression" dxfId="607" priority="871">
      <formula>$O$77=""</formula>
    </cfRule>
  </conditionalFormatting>
  <conditionalFormatting sqref="Q60:Q61">
    <cfRule type="expression" dxfId="605" priority="520">
      <formula>AND(O60="Yes",Q60&lt;&gt;"")</formula>
    </cfRule>
    <cfRule type="expression" dxfId="604" priority="521">
      <formula>O60="Yes"</formula>
    </cfRule>
  </conditionalFormatting>
  <conditionalFormatting sqref="Q63">
    <cfRule type="expression" dxfId="603" priority="376">
      <formula>AND(O63="Yes",Q63&lt;&gt;"")</formula>
    </cfRule>
    <cfRule type="expression" dxfId="602" priority="377">
      <formula>O63="Yes"</formula>
    </cfRule>
  </conditionalFormatting>
  <conditionalFormatting sqref="Q65:Q66">
    <cfRule type="expression" dxfId="601" priority="289">
      <formula>AND(O65="Yes",Q65&lt;&gt;"")</formula>
    </cfRule>
    <cfRule type="expression" dxfId="600" priority="290">
      <formula>O65="Yes"</formula>
    </cfRule>
  </conditionalFormatting>
  <conditionalFormatting sqref="Q70">
    <cfRule type="expression" dxfId="599" priority="202">
      <formula>AND(O70="Yes",Q70&lt;&gt;"")</formula>
    </cfRule>
    <cfRule type="expression" dxfId="598" priority="203">
      <formula>O70="Yes"</formula>
    </cfRule>
  </conditionalFormatting>
  <conditionalFormatting sqref="Q72:Q74 Q77">
    <cfRule type="expression" dxfId="597" priority="115">
      <formula>AND(O72="Yes",Q72&lt;&gt;"")</formula>
    </cfRule>
    <cfRule type="expression" dxfId="596" priority="116">
      <formula>O72="Yes"</formula>
    </cfRule>
  </conditionalFormatting>
  <conditionalFormatting sqref="R29">
    <cfRule type="iconSet" priority="569">
      <iconSet iconSet="3Symbols" showValue="0">
        <cfvo type="percent" val="0"/>
        <cfvo type="num" val="0"/>
        <cfvo type="num" val="1"/>
      </iconSet>
    </cfRule>
  </conditionalFormatting>
  <conditionalFormatting sqref="R60:R61">
    <cfRule type="expression" dxfId="595" priority="1419">
      <formula>R60=""</formula>
    </cfRule>
  </conditionalFormatting>
  <conditionalFormatting sqref="R63">
    <cfRule type="expression" dxfId="594" priority="1418">
      <formula>R63=""</formula>
    </cfRule>
  </conditionalFormatting>
  <conditionalFormatting sqref="R65:R66">
    <cfRule type="expression" dxfId="593" priority="1339">
      <formula>R65=""</formula>
    </cfRule>
  </conditionalFormatting>
  <conditionalFormatting sqref="R70">
    <cfRule type="expression" dxfId="592" priority="1306">
      <formula>R70=""</formula>
    </cfRule>
  </conditionalFormatting>
  <conditionalFormatting sqref="R72:R73">
    <cfRule type="expression" dxfId="591" priority="1211">
      <formula>R72=""</formula>
    </cfRule>
  </conditionalFormatting>
  <conditionalFormatting sqref="R76">
    <cfRule type="expression" dxfId="590" priority="1210">
      <formula>R76=""</formula>
    </cfRule>
  </conditionalFormatting>
  <conditionalFormatting sqref="R77">
    <cfRule type="expression" dxfId="589" priority="869">
      <formula>$R$77=""</formula>
    </cfRule>
  </conditionalFormatting>
  <conditionalFormatting sqref="T60:T61">
    <cfRule type="expression" dxfId="587" priority="515">
      <formula>AND(R60="Yes",T60&lt;&gt;"")</formula>
    </cfRule>
    <cfRule type="expression" dxfId="586" priority="516">
      <formula>R60="Yes"</formula>
    </cfRule>
  </conditionalFormatting>
  <conditionalFormatting sqref="T63">
    <cfRule type="expression" dxfId="585" priority="373">
      <formula>AND(R63="Yes",T63&lt;&gt;"")</formula>
    </cfRule>
    <cfRule type="expression" dxfId="584" priority="374">
      <formula>R63="Yes"</formula>
    </cfRule>
  </conditionalFormatting>
  <conditionalFormatting sqref="T65:T66">
    <cfRule type="expression" dxfId="583" priority="286">
      <formula>AND(R65="Yes",T65&lt;&gt;"")</formula>
    </cfRule>
    <cfRule type="expression" dxfId="582" priority="287">
      <formula>R65="Yes"</formula>
    </cfRule>
  </conditionalFormatting>
  <conditionalFormatting sqref="T70">
    <cfRule type="expression" dxfId="581" priority="199">
      <formula>AND(R70="Yes",T70&lt;&gt;"")</formula>
    </cfRule>
    <cfRule type="expression" dxfId="580" priority="200">
      <formula>R70="Yes"</formula>
    </cfRule>
  </conditionalFormatting>
  <conditionalFormatting sqref="T72:T74 T77">
    <cfRule type="expression" dxfId="579" priority="112">
      <formula>AND(R72="Yes",T72&lt;&gt;"")</formula>
    </cfRule>
    <cfRule type="expression" dxfId="578" priority="113">
      <formula>R72="Yes"</formula>
    </cfRule>
  </conditionalFormatting>
  <conditionalFormatting sqref="U29">
    <cfRule type="iconSet" priority="568">
      <iconSet iconSet="3Symbols" showValue="0">
        <cfvo type="percent" val="0"/>
        <cfvo type="num" val="0"/>
        <cfvo type="num" val="1"/>
      </iconSet>
    </cfRule>
  </conditionalFormatting>
  <conditionalFormatting sqref="U60:U61">
    <cfRule type="expression" dxfId="577" priority="1415">
      <formula>U60=""</formula>
    </cfRule>
  </conditionalFormatting>
  <conditionalFormatting sqref="U63">
    <cfRule type="expression" dxfId="576" priority="1338">
      <formula>U63=""</formula>
    </cfRule>
  </conditionalFormatting>
  <conditionalFormatting sqref="U65:U66">
    <cfRule type="expression" dxfId="575" priority="1304">
      <formula>U65=""</formula>
    </cfRule>
  </conditionalFormatting>
  <conditionalFormatting sqref="U70">
    <cfRule type="expression" dxfId="574" priority="1249">
      <formula>U70=""</formula>
    </cfRule>
  </conditionalFormatting>
  <conditionalFormatting sqref="U72:U73">
    <cfRule type="expression" dxfId="573" priority="1206">
      <formula>U72=""</formula>
    </cfRule>
  </conditionalFormatting>
  <conditionalFormatting sqref="U76">
    <cfRule type="expression" dxfId="572" priority="1205">
      <formula>U76=""</formula>
    </cfRule>
  </conditionalFormatting>
  <conditionalFormatting sqref="U77">
    <cfRule type="expression" dxfId="571" priority="867">
      <formula>$U$77=""</formula>
    </cfRule>
  </conditionalFormatting>
  <conditionalFormatting sqref="W60:W61">
    <cfRule type="expression" dxfId="568" priority="510">
      <formula>AND(U60="Yes",W60&lt;&gt;"")</formula>
    </cfRule>
    <cfRule type="expression" dxfId="567" priority="511">
      <formula>U60="Yes"</formula>
    </cfRule>
  </conditionalFormatting>
  <conditionalFormatting sqref="W63">
    <cfRule type="expression" dxfId="566" priority="370">
      <formula>AND(U63="Yes",W63&lt;&gt;"")</formula>
    </cfRule>
    <cfRule type="expression" dxfId="565" priority="371">
      <formula>U63="Yes"</formula>
    </cfRule>
  </conditionalFormatting>
  <conditionalFormatting sqref="W65:W66">
    <cfRule type="expression" dxfId="564" priority="283">
      <formula>AND(U65="Yes",W65&lt;&gt;"")</formula>
    </cfRule>
    <cfRule type="expression" dxfId="563" priority="284">
      <formula>U65="Yes"</formula>
    </cfRule>
  </conditionalFormatting>
  <conditionalFormatting sqref="W70">
    <cfRule type="expression" dxfId="562" priority="196">
      <formula>AND(U70="Yes",W70&lt;&gt;"")</formula>
    </cfRule>
    <cfRule type="expression" dxfId="561" priority="197">
      <formula>U70="Yes"</formula>
    </cfRule>
  </conditionalFormatting>
  <conditionalFormatting sqref="W72:W74 W77">
    <cfRule type="expression" dxfId="560" priority="109">
      <formula>AND(U72="Yes",W72&lt;&gt;"")</formula>
    </cfRule>
    <cfRule type="expression" dxfId="559" priority="110">
      <formula>U72="Yes"</formula>
    </cfRule>
  </conditionalFormatting>
  <conditionalFormatting sqref="X29">
    <cfRule type="iconSet" priority="567">
      <iconSet iconSet="3Symbols" showValue="0">
        <cfvo type="percent" val="0"/>
        <cfvo type="num" val="0"/>
        <cfvo type="num" val="1"/>
      </iconSet>
    </cfRule>
  </conditionalFormatting>
  <conditionalFormatting sqref="X60:X61">
    <cfRule type="expression" dxfId="558" priority="1412">
      <formula>X60=""</formula>
    </cfRule>
  </conditionalFormatting>
  <conditionalFormatting sqref="X63">
    <cfRule type="expression" dxfId="557" priority="1337">
      <formula>X63=""</formula>
    </cfRule>
  </conditionalFormatting>
  <conditionalFormatting sqref="X65:X66">
    <cfRule type="expression" dxfId="556" priority="1302">
      <formula>X65=""</formula>
    </cfRule>
  </conditionalFormatting>
  <conditionalFormatting sqref="X70">
    <cfRule type="expression" dxfId="555" priority="1248">
      <formula>X70=""</formula>
    </cfRule>
  </conditionalFormatting>
  <conditionalFormatting sqref="X72:X73">
    <cfRule type="expression" dxfId="554" priority="1202">
      <formula>X72=""</formula>
    </cfRule>
  </conditionalFormatting>
  <conditionalFormatting sqref="X76">
    <cfRule type="expression" dxfId="553" priority="1201">
      <formula>X76=""</formula>
    </cfRule>
  </conditionalFormatting>
  <conditionalFormatting sqref="X77">
    <cfRule type="expression" dxfId="552" priority="865">
      <formula>$X$77=""</formula>
    </cfRule>
  </conditionalFormatting>
  <conditionalFormatting sqref="Z60:Z61">
    <cfRule type="expression" dxfId="550" priority="505">
      <formula>AND(X60="Yes",Z60&lt;&gt;"")</formula>
    </cfRule>
    <cfRule type="expression" dxfId="549" priority="506">
      <formula>X60="Yes"</formula>
    </cfRule>
  </conditionalFormatting>
  <conditionalFormatting sqref="Z63">
    <cfRule type="expression" dxfId="548" priority="367">
      <formula>AND(X63="Yes",Z63&lt;&gt;"")</formula>
    </cfRule>
    <cfRule type="expression" dxfId="547" priority="368">
      <formula>X63="Yes"</formula>
    </cfRule>
  </conditionalFormatting>
  <conditionalFormatting sqref="Z65:Z66">
    <cfRule type="expression" dxfId="546" priority="280">
      <formula>AND(X65="Yes",Z65&lt;&gt;"")</formula>
    </cfRule>
    <cfRule type="expression" dxfId="545" priority="281">
      <formula>X65="Yes"</formula>
    </cfRule>
  </conditionalFormatting>
  <conditionalFormatting sqref="Z70">
    <cfRule type="expression" dxfId="544" priority="193">
      <formula>AND(X70="Yes",Z70&lt;&gt;"")</formula>
    </cfRule>
    <cfRule type="expression" dxfId="543" priority="194">
      <formula>X70="Yes"</formula>
    </cfRule>
  </conditionalFormatting>
  <conditionalFormatting sqref="Z72:Z74 Z77">
    <cfRule type="expression" dxfId="542" priority="106">
      <formula>AND(X72="Yes",Z72&lt;&gt;"")</formula>
    </cfRule>
    <cfRule type="expression" dxfId="541" priority="107">
      <formula>X72="Yes"</formula>
    </cfRule>
  </conditionalFormatting>
  <conditionalFormatting sqref="AA29">
    <cfRule type="iconSet" priority="566">
      <iconSet iconSet="3Symbols" showValue="0">
        <cfvo type="percent" val="0"/>
        <cfvo type="num" val="0"/>
        <cfvo type="num" val="1"/>
      </iconSet>
    </cfRule>
  </conditionalFormatting>
  <conditionalFormatting sqref="AA60:AA61">
    <cfRule type="expression" dxfId="540" priority="1410">
      <formula>AA60=""</formula>
    </cfRule>
  </conditionalFormatting>
  <conditionalFormatting sqref="AA63">
    <cfRule type="expression" dxfId="539" priority="1409">
      <formula>AA63=""</formula>
    </cfRule>
  </conditionalFormatting>
  <conditionalFormatting sqref="AA65:AA66">
    <cfRule type="expression" dxfId="538" priority="1336">
      <formula>AA65=""</formula>
    </cfRule>
  </conditionalFormatting>
  <conditionalFormatting sqref="AA70">
    <cfRule type="expression" dxfId="537" priority="1300">
      <formula>AA70=""</formula>
    </cfRule>
  </conditionalFormatting>
  <conditionalFormatting sqref="AA72:AA73">
    <cfRule type="expression" dxfId="536" priority="1199">
      <formula>AA72=""</formula>
    </cfRule>
  </conditionalFormatting>
  <conditionalFormatting sqref="AA76">
    <cfRule type="expression" dxfId="535" priority="1198">
      <formula>AA76=""</formula>
    </cfRule>
  </conditionalFormatting>
  <conditionalFormatting sqref="AA77">
    <cfRule type="expression" dxfId="534" priority="863">
      <formula>$AA$77=""</formula>
    </cfRule>
  </conditionalFormatting>
  <conditionalFormatting sqref="AC60:AC61">
    <cfRule type="expression" dxfId="532" priority="500">
      <formula>AND(AA60="Yes",AC60&lt;&gt;"")</formula>
    </cfRule>
    <cfRule type="expression" dxfId="531" priority="501">
      <formula>AA60="Yes"</formula>
    </cfRule>
  </conditionalFormatting>
  <conditionalFormatting sqref="AC63">
    <cfRule type="expression" dxfId="530" priority="364">
      <formula>AND(AA63="Yes",AC63&lt;&gt;"")</formula>
    </cfRule>
    <cfRule type="expression" dxfId="529" priority="365">
      <formula>AA63="Yes"</formula>
    </cfRule>
  </conditionalFormatting>
  <conditionalFormatting sqref="AC65:AC66">
    <cfRule type="expression" dxfId="528" priority="277">
      <formula>AND(AA65="Yes",AC65&lt;&gt;"")</formula>
    </cfRule>
    <cfRule type="expression" dxfId="527" priority="278">
      <formula>AA65="Yes"</formula>
    </cfRule>
  </conditionalFormatting>
  <conditionalFormatting sqref="AC70">
    <cfRule type="expression" dxfId="526" priority="190">
      <formula>AND(AA70="Yes",AC70&lt;&gt;"")</formula>
    </cfRule>
    <cfRule type="expression" dxfId="525" priority="191">
      <formula>AA70="Yes"</formula>
    </cfRule>
  </conditionalFormatting>
  <conditionalFormatting sqref="AC72:AC74 AC77">
    <cfRule type="expression" dxfId="524" priority="103">
      <formula>AND(AA72="Yes",AC72&lt;&gt;"")</formula>
    </cfRule>
    <cfRule type="expression" dxfId="523" priority="104">
      <formula>AA72="Yes"</formula>
    </cfRule>
  </conditionalFormatting>
  <conditionalFormatting sqref="AD29">
    <cfRule type="iconSet" priority="565">
      <iconSet iconSet="3Symbols" showValue="0">
        <cfvo type="percent" val="0"/>
        <cfvo type="num" val="0"/>
        <cfvo type="num" val="1"/>
      </iconSet>
    </cfRule>
  </conditionalFormatting>
  <conditionalFormatting sqref="AD60:AD61">
    <cfRule type="expression" dxfId="522" priority="1407">
      <formula>AD60=""</formula>
    </cfRule>
  </conditionalFormatting>
  <conditionalFormatting sqref="AD63">
    <cfRule type="expression" dxfId="521" priority="1406">
      <formula>AD63=""</formula>
    </cfRule>
  </conditionalFormatting>
  <conditionalFormatting sqref="AD65:AD66">
    <cfRule type="expression" dxfId="520" priority="1335">
      <formula>AD65=""</formula>
    </cfRule>
  </conditionalFormatting>
  <conditionalFormatting sqref="AD70">
    <cfRule type="expression" dxfId="519" priority="1298">
      <formula>AD70=""</formula>
    </cfRule>
  </conditionalFormatting>
  <conditionalFormatting sqref="AD72:AD73">
    <cfRule type="expression" dxfId="518" priority="1195">
      <formula>AD72=""</formula>
    </cfRule>
  </conditionalFormatting>
  <conditionalFormatting sqref="AD76">
    <cfRule type="expression" dxfId="517" priority="1194">
      <formula>AD76=""</formula>
    </cfRule>
  </conditionalFormatting>
  <conditionalFormatting sqref="AD77">
    <cfRule type="expression" dxfId="516" priority="861">
      <formula>$AD$77=""</formula>
    </cfRule>
  </conditionalFormatting>
  <conditionalFormatting sqref="AF60:AF61">
    <cfRule type="expression" dxfId="514" priority="495">
      <formula>AND(AD60="Yes",AF60&lt;&gt;"")</formula>
    </cfRule>
    <cfRule type="expression" dxfId="513" priority="496">
      <formula>AD60="Yes"</formula>
    </cfRule>
  </conditionalFormatting>
  <conditionalFormatting sqref="AF63">
    <cfRule type="expression" dxfId="512" priority="361">
      <formula>AND(AD63="Yes",AF63&lt;&gt;"")</formula>
    </cfRule>
    <cfRule type="expression" dxfId="511" priority="362">
      <formula>AD63="Yes"</formula>
    </cfRule>
  </conditionalFormatting>
  <conditionalFormatting sqref="AF65:AF66">
    <cfRule type="expression" dxfId="510" priority="274">
      <formula>AND(AD65="Yes",AF65&lt;&gt;"")</formula>
    </cfRule>
    <cfRule type="expression" dxfId="509" priority="275">
      <formula>AD65="Yes"</formula>
    </cfRule>
  </conditionalFormatting>
  <conditionalFormatting sqref="AF70">
    <cfRule type="expression" dxfId="508" priority="187">
      <formula>AND(AD70="Yes",AF70&lt;&gt;"")</formula>
    </cfRule>
    <cfRule type="expression" dxfId="507" priority="188">
      <formula>AD70="Yes"</formula>
    </cfRule>
  </conditionalFormatting>
  <conditionalFormatting sqref="AF72:AF74 AF77">
    <cfRule type="expression" dxfId="506" priority="100">
      <formula>AND(AD72="Yes",AF72&lt;&gt;"")</formula>
    </cfRule>
    <cfRule type="expression" dxfId="505" priority="101">
      <formula>AD72="Yes"</formula>
    </cfRule>
  </conditionalFormatting>
  <conditionalFormatting sqref="AG29">
    <cfRule type="iconSet" priority="564">
      <iconSet iconSet="3Symbols" showValue="0">
        <cfvo type="percent" val="0"/>
        <cfvo type="num" val="0"/>
        <cfvo type="num" val="1"/>
      </iconSet>
    </cfRule>
  </conditionalFormatting>
  <conditionalFormatting sqref="AG60:AG61">
    <cfRule type="expression" dxfId="504" priority="1404">
      <formula>AG60=""</formula>
    </cfRule>
  </conditionalFormatting>
  <conditionalFormatting sqref="AG63">
    <cfRule type="expression" dxfId="503" priority="1403">
      <formula>AG63=""</formula>
    </cfRule>
  </conditionalFormatting>
  <conditionalFormatting sqref="AG65:AG66">
    <cfRule type="expression" dxfId="502" priority="1334">
      <formula>AG65=""</formula>
    </cfRule>
  </conditionalFormatting>
  <conditionalFormatting sqref="AG70">
    <cfRule type="expression" dxfId="501" priority="1296">
      <formula>AG70=""</formula>
    </cfRule>
  </conditionalFormatting>
  <conditionalFormatting sqref="AG72:AG73">
    <cfRule type="expression" dxfId="500" priority="1191">
      <formula>AG72=""</formula>
    </cfRule>
  </conditionalFormatting>
  <conditionalFormatting sqref="AG76">
    <cfRule type="expression" dxfId="499" priority="1190">
      <formula>AG76=""</formula>
    </cfRule>
  </conditionalFormatting>
  <conditionalFormatting sqref="AG77">
    <cfRule type="expression" dxfId="498" priority="859">
      <formula>$AG$77=""</formula>
    </cfRule>
  </conditionalFormatting>
  <conditionalFormatting sqref="AI60:AI61">
    <cfRule type="expression" dxfId="496" priority="490">
      <formula>AND(AG60="Yes",AI60&lt;&gt;"")</formula>
    </cfRule>
    <cfRule type="expression" dxfId="495" priority="491">
      <formula>AG60="Yes"</formula>
    </cfRule>
  </conditionalFormatting>
  <conditionalFormatting sqref="AI63">
    <cfRule type="expression" dxfId="494" priority="358">
      <formula>AND(AG63="Yes",AI63&lt;&gt;"")</formula>
    </cfRule>
    <cfRule type="expression" dxfId="493" priority="359">
      <formula>AG63="Yes"</formula>
    </cfRule>
  </conditionalFormatting>
  <conditionalFormatting sqref="AI65:AI66">
    <cfRule type="expression" dxfId="492" priority="271">
      <formula>AND(AG65="Yes",AI65&lt;&gt;"")</formula>
    </cfRule>
    <cfRule type="expression" dxfId="491" priority="272">
      <formula>AG65="Yes"</formula>
    </cfRule>
  </conditionalFormatting>
  <conditionalFormatting sqref="AI70">
    <cfRule type="expression" dxfId="490" priority="184">
      <formula>AND(AG70="Yes",AI70&lt;&gt;"")</formula>
    </cfRule>
    <cfRule type="expression" dxfId="489" priority="185">
      <formula>AG70="Yes"</formula>
    </cfRule>
  </conditionalFormatting>
  <conditionalFormatting sqref="AI72:AI74 AI77">
    <cfRule type="expression" dxfId="488" priority="97">
      <formula>AND(AG72="Yes",AI72&lt;&gt;"")</formula>
    </cfRule>
    <cfRule type="expression" dxfId="487" priority="98">
      <formula>AG72="Yes"</formula>
    </cfRule>
  </conditionalFormatting>
  <conditionalFormatting sqref="AJ29">
    <cfRule type="iconSet" priority="563">
      <iconSet iconSet="3Symbols" showValue="0">
        <cfvo type="percent" val="0"/>
        <cfvo type="num" val="0"/>
        <cfvo type="num" val="1"/>
      </iconSet>
    </cfRule>
  </conditionalFormatting>
  <conditionalFormatting sqref="AJ60:AJ61">
    <cfRule type="expression" dxfId="486" priority="1401">
      <formula>AJ60=""</formula>
    </cfRule>
  </conditionalFormatting>
  <conditionalFormatting sqref="AJ63">
    <cfRule type="expression" dxfId="485" priority="1400">
      <formula>AJ63=""</formula>
    </cfRule>
  </conditionalFormatting>
  <conditionalFormatting sqref="AJ65:AJ66">
    <cfRule type="expression" dxfId="484" priority="1333">
      <formula>AJ65=""</formula>
    </cfRule>
  </conditionalFormatting>
  <conditionalFormatting sqref="AJ70">
    <cfRule type="expression" dxfId="483" priority="1294">
      <formula>AJ70=""</formula>
    </cfRule>
  </conditionalFormatting>
  <conditionalFormatting sqref="AJ72:AJ73">
    <cfRule type="expression" dxfId="482" priority="1187">
      <formula>AJ72=""</formula>
    </cfRule>
  </conditionalFormatting>
  <conditionalFormatting sqref="AJ76">
    <cfRule type="expression" dxfId="481" priority="1186">
      <formula>AJ76=""</formula>
    </cfRule>
  </conditionalFormatting>
  <conditionalFormatting sqref="AJ77">
    <cfRule type="expression" dxfId="480" priority="857">
      <formula>$AJ$77=""</formula>
    </cfRule>
  </conditionalFormatting>
  <conditionalFormatting sqref="AL60:AL61">
    <cfRule type="expression" dxfId="478" priority="480">
      <formula>AND(AJ60="Yes",AL60&lt;&gt;"")</formula>
    </cfRule>
    <cfRule type="expression" dxfId="477" priority="481">
      <formula>AJ60="Yes"</formula>
    </cfRule>
  </conditionalFormatting>
  <conditionalFormatting sqref="AL63">
    <cfRule type="expression" dxfId="476" priority="355">
      <formula>AND(AJ63="Yes",AL63&lt;&gt;"")</formula>
    </cfRule>
    <cfRule type="expression" dxfId="475" priority="356">
      <formula>AJ63="Yes"</formula>
    </cfRule>
  </conditionalFormatting>
  <conditionalFormatting sqref="AL65:AL66">
    <cfRule type="expression" dxfId="474" priority="268">
      <formula>AND(AJ65="Yes",AL65&lt;&gt;"")</formula>
    </cfRule>
    <cfRule type="expression" dxfId="473" priority="269">
      <formula>AJ65="Yes"</formula>
    </cfRule>
  </conditionalFormatting>
  <conditionalFormatting sqref="AL70">
    <cfRule type="expression" dxfId="472" priority="181">
      <formula>AND(AJ70="Yes",AL70&lt;&gt;"")</formula>
    </cfRule>
    <cfRule type="expression" dxfId="471" priority="182">
      <formula>AJ70="Yes"</formula>
    </cfRule>
  </conditionalFormatting>
  <conditionalFormatting sqref="AL72:AL74 AL77">
    <cfRule type="expression" dxfId="470" priority="94">
      <formula>AND(AJ72="Yes",AL72&lt;&gt;"")</formula>
    </cfRule>
    <cfRule type="expression" dxfId="469" priority="95">
      <formula>AJ72="Yes"</formula>
    </cfRule>
  </conditionalFormatting>
  <conditionalFormatting sqref="AM29">
    <cfRule type="iconSet" priority="562">
      <iconSet iconSet="3Symbols" showValue="0">
        <cfvo type="percent" val="0"/>
        <cfvo type="num" val="0"/>
        <cfvo type="num" val="1"/>
      </iconSet>
    </cfRule>
  </conditionalFormatting>
  <conditionalFormatting sqref="AM60:AM61">
    <cfRule type="expression" dxfId="468" priority="1398">
      <formula>AM60=""</formula>
    </cfRule>
  </conditionalFormatting>
  <conditionalFormatting sqref="AM63">
    <cfRule type="expression" dxfId="467" priority="1397">
      <formula>AM63=""</formula>
    </cfRule>
  </conditionalFormatting>
  <conditionalFormatting sqref="AM65:AM66">
    <cfRule type="expression" dxfId="466" priority="1332">
      <formula>AM65=""</formula>
    </cfRule>
  </conditionalFormatting>
  <conditionalFormatting sqref="AM70">
    <cfRule type="expression" dxfId="465" priority="1292">
      <formula>AM70=""</formula>
    </cfRule>
  </conditionalFormatting>
  <conditionalFormatting sqref="AM72:AM73">
    <cfRule type="expression" dxfId="464" priority="1183">
      <formula>AM72=""</formula>
    </cfRule>
  </conditionalFormatting>
  <conditionalFormatting sqref="AM76">
    <cfRule type="expression" dxfId="463" priority="1182">
      <formula>AM76=""</formula>
    </cfRule>
  </conditionalFormatting>
  <conditionalFormatting sqref="AM77">
    <cfRule type="expression" dxfId="462" priority="855">
      <formula>$AM$77=""</formula>
    </cfRule>
  </conditionalFormatting>
  <conditionalFormatting sqref="AO60:AO61">
    <cfRule type="expression" dxfId="460" priority="475">
      <formula>AND(AM60="Yes",AO60&lt;&gt;"")</formula>
    </cfRule>
    <cfRule type="expression" dxfId="459" priority="476">
      <formula>AM60="Yes"</formula>
    </cfRule>
  </conditionalFormatting>
  <conditionalFormatting sqref="AO63">
    <cfRule type="expression" dxfId="458" priority="352">
      <formula>AND(AM63="Yes",AO63&lt;&gt;"")</formula>
    </cfRule>
    <cfRule type="expression" dxfId="457" priority="353">
      <formula>AM63="Yes"</formula>
    </cfRule>
  </conditionalFormatting>
  <conditionalFormatting sqref="AO65:AO66">
    <cfRule type="expression" dxfId="456" priority="265">
      <formula>AND(AM65="Yes",AO65&lt;&gt;"")</formula>
    </cfRule>
    <cfRule type="expression" dxfId="455" priority="266">
      <formula>AM65="Yes"</formula>
    </cfRule>
  </conditionalFormatting>
  <conditionalFormatting sqref="AO70">
    <cfRule type="expression" dxfId="454" priority="178">
      <formula>AND(AM70="Yes",AO70&lt;&gt;"")</formula>
    </cfRule>
    <cfRule type="expression" dxfId="453" priority="179">
      <formula>AM70="Yes"</formula>
    </cfRule>
  </conditionalFormatting>
  <conditionalFormatting sqref="AO72:AO74 AO77">
    <cfRule type="expression" dxfId="452" priority="91">
      <formula>AND(AM72="Yes",AO72&lt;&gt;"")</formula>
    </cfRule>
    <cfRule type="expression" dxfId="451" priority="92">
      <formula>AM72="Yes"</formula>
    </cfRule>
  </conditionalFormatting>
  <conditionalFormatting sqref="AP29">
    <cfRule type="iconSet" priority="561">
      <iconSet iconSet="3Symbols" showValue="0">
        <cfvo type="percent" val="0"/>
        <cfvo type="num" val="0"/>
        <cfvo type="num" val="1"/>
      </iconSet>
    </cfRule>
  </conditionalFormatting>
  <conditionalFormatting sqref="AP60:AP61">
    <cfRule type="expression" dxfId="450" priority="1395">
      <formula>AP60=""</formula>
    </cfRule>
  </conditionalFormatting>
  <conditionalFormatting sqref="AP63">
    <cfRule type="expression" dxfId="449" priority="1394">
      <formula>AP63=""</formula>
    </cfRule>
  </conditionalFormatting>
  <conditionalFormatting sqref="AP65:AP66">
    <cfRule type="expression" dxfId="448" priority="1331">
      <formula>AP65=""</formula>
    </cfRule>
  </conditionalFormatting>
  <conditionalFormatting sqref="AP70">
    <cfRule type="expression" dxfId="447" priority="1288">
      <formula>AP70=""</formula>
    </cfRule>
  </conditionalFormatting>
  <conditionalFormatting sqref="AP72:AP73">
    <cfRule type="expression" dxfId="446" priority="1179">
      <formula>AP72=""</formula>
    </cfRule>
  </conditionalFormatting>
  <conditionalFormatting sqref="AP76">
    <cfRule type="expression" dxfId="445" priority="1178">
      <formula>AP76=""</formula>
    </cfRule>
  </conditionalFormatting>
  <conditionalFormatting sqref="AP77">
    <cfRule type="expression" dxfId="444" priority="851">
      <formula>$AP$77=""</formula>
    </cfRule>
  </conditionalFormatting>
  <conditionalFormatting sqref="AR60:AR61">
    <cfRule type="expression" dxfId="442" priority="470">
      <formula>AND(AP60="Yes",AR60&lt;&gt;"")</formula>
    </cfRule>
    <cfRule type="expression" dxfId="441" priority="471">
      <formula>AP60="Yes"</formula>
    </cfRule>
  </conditionalFormatting>
  <conditionalFormatting sqref="AR63">
    <cfRule type="expression" dxfId="440" priority="349">
      <formula>AND(AP63="Yes",AR63&lt;&gt;"")</formula>
    </cfRule>
    <cfRule type="expression" dxfId="439" priority="350">
      <formula>AP63="Yes"</formula>
    </cfRule>
  </conditionalFormatting>
  <conditionalFormatting sqref="AR65:AR66">
    <cfRule type="expression" dxfId="438" priority="262">
      <formula>AND(AP65="Yes",AR65&lt;&gt;"")</formula>
    </cfRule>
    <cfRule type="expression" dxfId="437" priority="263">
      <formula>AP65="Yes"</formula>
    </cfRule>
  </conditionalFormatting>
  <conditionalFormatting sqref="AR70">
    <cfRule type="expression" dxfId="436" priority="175">
      <formula>AND(AP70="Yes",AR70&lt;&gt;"")</formula>
    </cfRule>
    <cfRule type="expression" dxfId="435" priority="176">
      <formula>AP70="Yes"</formula>
    </cfRule>
  </conditionalFormatting>
  <conditionalFormatting sqref="AR72:AR74 AR77">
    <cfRule type="expression" dxfId="434" priority="88">
      <formula>AND(AP72="Yes",AR72&lt;&gt;"")</formula>
    </cfRule>
    <cfRule type="expression" dxfId="433" priority="89">
      <formula>AP72="Yes"</formula>
    </cfRule>
  </conditionalFormatting>
  <conditionalFormatting sqref="AS29">
    <cfRule type="iconSet" priority="560">
      <iconSet iconSet="3Symbols" showValue="0">
        <cfvo type="percent" val="0"/>
        <cfvo type="num" val="0"/>
        <cfvo type="num" val="1"/>
      </iconSet>
    </cfRule>
  </conditionalFormatting>
  <conditionalFormatting sqref="AS60:AS61">
    <cfRule type="expression" dxfId="432" priority="1392">
      <formula>AS60=""</formula>
    </cfRule>
  </conditionalFormatting>
  <conditionalFormatting sqref="AS63">
    <cfRule type="expression" dxfId="431" priority="1391">
      <formula>AS63=""</formula>
    </cfRule>
  </conditionalFormatting>
  <conditionalFormatting sqref="AS65:AS66">
    <cfRule type="expression" dxfId="430" priority="1330">
      <formula>AS65=""</formula>
    </cfRule>
  </conditionalFormatting>
  <conditionalFormatting sqref="AS70">
    <cfRule type="expression" dxfId="429" priority="1286">
      <formula>AS70=""</formula>
    </cfRule>
  </conditionalFormatting>
  <conditionalFormatting sqref="AS72:AS73">
    <cfRule type="expression" dxfId="428" priority="1175">
      <formula>AS72=""</formula>
    </cfRule>
  </conditionalFormatting>
  <conditionalFormatting sqref="AS76">
    <cfRule type="expression" dxfId="427" priority="1174">
      <formula>AS76=""</formula>
    </cfRule>
  </conditionalFormatting>
  <conditionalFormatting sqref="AS77">
    <cfRule type="expression" dxfId="426" priority="849">
      <formula>$AS$77=""</formula>
    </cfRule>
  </conditionalFormatting>
  <conditionalFormatting sqref="AU60:AU61">
    <cfRule type="expression" dxfId="424" priority="465">
      <formula>AND(AS60="Yes",AU60&lt;&gt;"")</formula>
    </cfRule>
    <cfRule type="expression" dxfId="423" priority="466">
      <formula>AS60="Yes"</formula>
    </cfRule>
  </conditionalFormatting>
  <conditionalFormatting sqref="AU63">
    <cfRule type="expression" dxfId="422" priority="346">
      <formula>AND(AS63="Yes",AU63&lt;&gt;"")</formula>
    </cfRule>
    <cfRule type="expression" dxfId="421" priority="347">
      <formula>AS63="Yes"</formula>
    </cfRule>
  </conditionalFormatting>
  <conditionalFormatting sqref="AU65:AU66">
    <cfRule type="expression" dxfId="420" priority="259">
      <formula>AND(AS65="Yes",AU65&lt;&gt;"")</formula>
    </cfRule>
    <cfRule type="expression" dxfId="419" priority="260">
      <formula>AS65="Yes"</formula>
    </cfRule>
  </conditionalFormatting>
  <conditionalFormatting sqref="AU70">
    <cfRule type="expression" dxfId="418" priority="172">
      <formula>AND(AS70="Yes",AU70&lt;&gt;"")</formula>
    </cfRule>
    <cfRule type="expression" dxfId="417" priority="173">
      <formula>AS70="Yes"</formula>
    </cfRule>
  </conditionalFormatting>
  <conditionalFormatting sqref="AU72:AU74 AU77">
    <cfRule type="expression" dxfId="416" priority="85">
      <formula>AND(AS72="Yes",AU72&lt;&gt;"")</formula>
    </cfRule>
    <cfRule type="expression" dxfId="415" priority="86">
      <formula>AS72="Yes"</formula>
    </cfRule>
  </conditionalFormatting>
  <conditionalFormatting sqref="AV29">
    <cfRule type="iconSet" priority="559">
      <iconSet iconSet="3Symbols" showValue="0">
        <cfvo type="percent" val="0"/>
        <cfvo type="num" val="0"/>
        <cfvo type="num" val="1"/>
      </iconSet>
    </cfRule>
  </conditionalFormatting>
  <conditionalFormatting sqref="AV60:AV61">
    <cfRule type="expression" dxfId="414" priority="1389">
      <formula>AV60=""</formula>
    </cfRule>
  </conditionalFormatting>
  <conditionalFormatting sqref="AV63">
    <cfRule type="expression" dxfId="413" priority="1388">
      <formula>AV63=""</formula>
    </cfRule>
  </conditionalFormatting>
  <conditionalFormatting sqref="AV65:AV66">
    <cfRule type="expression" dxfId="412" priority="1329">
      <formula>AV65=""</formula>
    </cfRule>
  </conditionalFormatting>
  <conditionalFormatting sqref="AV70">
    <cfRule type="expression" dxfId="411" priority="1284">
      <formula>AV70=""</formula>
    </cfRule>
  </conditionalFormatting>
  <conditionalFormatting sqref="AV72:AV73">
    <cfRule type="expression" dxfId="410" priority="1171">
      <formula>AV72=""</formula>
    </cfRule>
  </conditionalFormatting>
  <conditionalFormatting sqref="AV76">
    <cfRule type="expression" dxfId="409" priority="1170">
      <formula>AV76=""</formula>
    </cfRule>
  </conditionalFormatting>
  <conditionalFormatting sqref="AV77">
    <cfRule type="expression" dxfId="408" priority="847">
      <formula>$AV$77=""</formula>
    </cfRule>
  </conditionalFormatting>
  <conditionalFormatting sqref="AX60:AX61">
    <cfRule type="expression" dxfId="406" priority="460">
      <formula>AND(AV60="Yes",AX60&lt;&gt;"")</formula>
    </cfRule>
    <cfRule type="expression" dxfId="405" priority="461">
      <formula>AV60="Yes"</formula>
    </cfRule>
  </conditionalFormatting>
  <conditionalFormatting sqref="AX63">
    <cfRule type="expression" dxfId="404" priority="343">
      <formula>AND(AV63="Yes",AX63&lt;&gt;"")</formula>
    </cfRule>
    <cfRule type="expression" dxfId="403" priority="344">
      <formula>AV63="Yes"</formula>
    </cfRule>
  </conditionalFormatting>
  <conditionalFormatting sqref="AX65:AX66">
    <cfRule type="expression" dxfId="402" priority="256">
      <formula>AND(AV65="Yes",AX65&lt;&gt;"")</formula>
    </cfRule>
    <cfRule type="expression" dxfId="401" priority="257">
      <formula>AV65="Yes"</formula>
    </cfRule>
  </conditionalFormatting>
  <conditionalFormatting sqref="AX70">
    <cfRule type="expression" dxfId="400" priority="169">
      <formula>AND(AV70="Yes",AX70&lt;&gt;"")</formula>
    </cfRule>
    <cfRule type="expression" dxfId="399" priority="170">
      <formula>AV70="Yes"</formula>
    </cfRule>
  </conditionalFormatting>
  <conditionalFormatting sqref="AX72:AX74 AX77">
    <cfRule type="expression" dxfId="398" priority="82">
      <formula>AND(AV72="Yes",AX72&lt;&gt;"")</formula>
    </cfRule>
    <cfRule type="expression" dxfId="397" priority="83">
      <formula>AV72="Yes"</formula>
    </cfRule>
  </conditionalFormatting>
  <conditionalFormatting sqref="AY29">
    <cfRule type="iconSet" priority="558">
      <iconSet iconSet="3Symbols" showValue="0">
        <cfvo type="percent" val="0"/>
        <cfvo type="num" val="0"/>
        <cfvo type="num" val="1"/>
      </iconSet>
    </cfRule>
  </conditionalFormatting>
  <conditionalFormatting sqref="AY60:AY61">
    <cfRule type="expression" dxfId="396" priority="1386">
      <formula>AY60=""</formula>
    </cfRule>
  </conditionalFormatting>
  <conditionalFormatting sqref="AY63">
    <cfRule type="expression" dxfId="395" priority="1385">
      <formula>AY63=""</formula>
    </cfRule>
  </conditionalFormatting>
  <conditionalFormatting sqref="AY65:AY66">
    <cfRule type="expression" dxfId="394" priority="1328">
      <formula>AY65=""</formula>
    </cfRule>
  </conditionalFormatting>
  <conditionalFormatting sqref="AY70">
    <cfRule type="expression" dxfId="393" priority="1282">
      <formula>AY70=""</formula>
    </cfRule>
  </conditionalFormatting>
  <conditionalFormatting sqref="AY72:AY73">
    <cfRule type="expression" dxfId="392" priority="1167">
      <formula>AY72=""</formula>
    </cfRule>
  </conditionalFormatting>
  <conditionalFormatting sqref="AY76">
    <cfRule type="expression" dxfId="391" priority="1166">
      <formula>AY76=""</formula>
    </cfRule>
  </conditionalFormatting>
  <conditionalFormatting sqref="AY77">
    <cfRule type="expression" dxfId="390" priority="845">
      <formula>$AY$77=""</formula>
    </cfRule>
  </conditionalFormatting>
  <conditionalFormatting sqref="BA60:BA61">
    <cfRule type="expression" dxfId="388" priority="455">
      <formula>AND(AY60="Yes",BA60&lt;&gt;"")</formula>
    </cfRule>
    <cfRule type="expression" dxfId="387" priority="456">
      <formula>AY60="Yes"</formula>
    </cfRule>
  </conditionalFormatting>
  <conditionalFormatting sqref="BA63">
    <cfRule type="expression" dxfId="386" priority="340">
      <formula>AND(AY63="Yes",BA63&lt;&gt;"")</formula>
    </cfRule>
    <cfRule type="expression" dxfId="385" priority="341">
      <formula>AY63="Yes"</formula>
    </cfRule>
  </conditionalFormatting>
  <conditionalFormatting sqref="BA65:BA66">
    <cfRule type="expression" dxfId="384" priority="253">
      <formula>AND(AY65="Yes",BA65&lt;&gt;"")</formula>
    </cfRule>
    <cfRule type="expression" dxfId="383" priority="254">
      <formula>AY65="Yes"</formula>
    </cfRule>
  </conditionalFormatting>
  <conditionalFormatting sqref="BA70">
    <cfRule type="expression" dxfId="382" priority="166">
      <formula>AND(AY70="Yes",BA70&lt;&gt;"")</formula>
    </cfRule>
    <cfRule type="expression" dxfId="381" priority="167">
      <formula>AY70="Yes"</formula>
    </cfRule>
  </conditionalFormatting>
  <conditionalFormatting sqref="BA72:BA74 BA77">
    <cfRule type="expression" dxfId="380" priority="79">
      <formula>AND(AY72="Yes",BA72&lt;&gt;"")</formula>
    </cfRule>
    <cfRule type="expression" dxfId="379" priority="80">
      <formula>AY72="Yes"</formula>
    </cfRule>
  </conditionalFormatting>
  <conditionalFormatting sqref="BB29">
    <cfRule type="iconSet" priority="557">
      <iconSet iconSet="3Symbols" showValue="0">
        <cfvo type="percent" val="0"/>
        <cfvo type="num" val="0"/>
        <cfvo type="num" val="1"/>
      </iconSet>
    </cfRule>
  </conditionalFormatting>
  <conditionalFormatting sqref="BB60:BB61">
    <cfRule type="expression" dxfId="378" priority="1383">
      <formula>BB60=""</formula>
    </cfRule>
  </conditionalFormatting>
  <conditionalFormatting sqref="BB63">
    <cfRule type="expression" dxfId="377" priority="1382">
      <formula>BB63=""</formula>
    </cfRule>
  </conditionalFormatting>
  <conditionalFormatting sqref="BB65:BB66">
    <cfRule type="expression" dxfId="376" priority="1327">
      <formula>BB65=""</formula>
    </cfRule>
  </conditionalFormatting>
  <conditionalFormatting sqref="BB70">
    <cfRule type="expression" dxfId="375" priority="1280">
      <formula>BB70=""</formula>
    </cfRule>
  </conditionalFormatting>
  <conditionalFormatting sqref="BB72:BB73">
    <cfRule type="expression" dxfId="374" priority="1163">
      <formula>BB72=""</formula>
    </cfRule>
  </conditionalFormatting>
  <conditionalFormatting sqref="BB76">
    <cfRule type="expression" dxfId="373" priority="1162">
      <formula>BB76=""</formula>
    </cfRule>
  </conditionalFormatting>
  <conditionalFormatting sqref="BB77">
    <cfRule type="expression" dxfId="372" priority="843">
      <formula>$BB$77=""</formula>
    </cfRule>
  </conditionalFormatting>
  <conditionalFormatting sqref="BD60:BD61">
    <cfRule type="expression" dxfId="370" priority="450">
      <formula>AND(BB60="Yes",BD60&lt;&gt;"")</formula>
    </cfRule>
    <cfRule type="expression" dxfId="369" priority="451">
      <formula>BB60="Yes"</formula>
    </cfRule>
  </conditionalFormatting>
  <conditionalFormatting sqref="BD63">
    <cfRule type="expression" dxfId="368" priority="337">
      <formula>AND(BB63="Yes",BD63&lt;&gt;"")</formula>
    </cfRule>
    <cfRule type="expression" dxfId="367" priority="338">
      <formula>BB63="Yes"</formula>
    </cfRule>
  </conditionalFormatting>
  <conditionalFormatting sqref="BD65:BD66">
    <cfRule type="expression" dxfId="366" priority="250">
      <formula>AND(BB65="Yes",BD65&lt;&gt;"")</formula>
    </cfRule>
    <cfRule type="expression" dxfId="365" priority="251">
      <formula>BB65="Yes"</formula>
    </cfRule>
  </conditionalFormatting>
  <conditionalFormatting sqref="BD70">
    <cfRule type="expression" dxfId="364" priority="163">
      <formula>AND(BB70="Yes",BD70&lt;&gt;"")</formula>
    </cfRule>
    <cfRule type="expression" dxfId="363" priority="164">
      <formula>BB70="Yes"</formula>
    </cfRule>
  </conditionalFormatting>
  <conditionalFormatting sqref="BD72:BD74 BD77">
    <cfRule type="expression" dxfId="362" priority="76">
      <formula>AND(BB72="Yes",BD72&lt;&gt;"")</formula>
    </cfRule>
    <cfRule type="expression" dxfId="361" priority="77">
      <formula>BB72="Yes"</formula>
    </cfRule>
  </conditionalFormatting>
  <conditionalFormatting sqref="BE29">
    <cfRule type="iconSet" priority="556">
      <iconSet iconSet="3Symbols" showValue="0">
        <cfvo type="percent" val="0"/>
        <cfvo type="num" val="0"/>
        <cfvo type="num" val="1"/>
      </iconSet>
    </cfRule>
  </conditionalFormatting>
  <conditionalFormatting sqref="BE60:BE61">
    <cfRule type="expression" dxfId="360" priority="1380">
      <formula>BE60=""</formula>
    </cfRule>
  </conditionalFormatting>
  <conditionalFormatting sqref="BE63">
    <cfRule type="expression" dxfId="359" priority="1379">
      <formula>BE63=""</formula>
    </cfRule>
  </conditionalFormatting>
  <conditionalFormatting sqref="BE65:BE66">
    <cfRule type="expression" dxfId="358" priority="1326">
      <formula>BE65=""</formula>
    </cfRule>
  </conditionalFormatting>
  <conditionalFormatting sqref="BE70">
    <cfRule type="expression" dxfId="357" priority="1278">
      <formula>BE70=""</formula>
    </cfRule>
  </conditionalFormatting>
  <conditionalFormatting sqref="BE72:BE73">
    <cfRule type="expression" dxfId="356" priority="1159">
      <formula>BE72=""</formula>
    </cfRule>
  </conditionalFormatting>
  <conditionalFormatting sqref="BE76">
    <cfRule type="expression" dxfId="355" priority="1158">
      <formula>BE76=""</formula>
    </cfRule>
  </conditionalFormatting>
  <conditionalFormatting sqref="BE77">
    <cfRule type="expression" dxfId="354" priority="841">
      <formula>$BE$77=""</formula>
    </cfRule>
  </conditionalFormatting>
  <conditionalFormatting sqref="BG60:BG61">
    <cfRule type="expression" dxfId="352" priority="445">
      <formula>AND(BE60="Yes",BG60&lt;&gt;"")</formula>
    </cfRule>
    <cfRule type="expression" dxfId="351" priority="446">
      <formula>BE60="Yes"</formula>
    </cfRule>
  </conditionalFormatting>
  <conditionalFormatting sqref="BG63">
    <cfRule type="expression" dxfId="350" priority="334">
      <formula>AND(BE63="Yes",BG63&lt;&gt;"")</formula>
    </cfRule>
    <cfRule type="expression" dxfId="349" priority="335">
      <formula>BE63="Yes"</formula>
    </cfRule>
  </conditionalFormatting>
  <conditionalFormatting sqref="BG65:BG66">
    <cfRule type="expression" dxfId="348" priority="247">
      <formula>AND(BE65="Yes",BG65&lt;&gt;"")</formula>
    </cfRule>
    <cfRule type="expression" dxfId="347" priority="248">
      <formula>BE65="Yes"</formula>
    </cfRule>
  </conditionalFormatting>
  <conditionalFormatting sqref="BG70">
    <cfRule type="expression" dxfId="346" priority="160">
      <formula>AND(BE70="Yes",BG70&lt;&gt;"")</formula>
    </cfRule>
    <cfRule type="expression" dxfId="345" priority="161">
      <formula>BE70="Yes"</formula>
    </cfRule>
  </conditionalFormatting>
  <conditionalFormatting sqref="BG72:BG74 BG77">
    <cfRule type="expression" dxfId="344" priority="73">
      <formula>AND(BE72="Yes",BG72&lt;&gt;"")</formula>
    </cfRule>
    <cfRule type="expression" dxfId="343" priority="74">
      <formula>BE72="Yes"</formula>
    </cfRule>
  </conditionalFormatting>
  <conditionalFormatting sqref="BH29">
    <cfRule type="iconSet" priority="555">
      <iconSet iconSet="3Symbols" showValue="0">
        <cfvo type="percent" val="0"/>
        <cfvo type="num" val="0"/>
        <cfvo type="num" val="1"/>
      </iconSet>
    </cfRule>
  </conditionalFormatting>
  <conditionalFormatting sqref="BH60:BH61">
    <cfRule type="expression" dxfId="342" priority="1377">
      <formula>BH60=""</formula>
    </cfRule>
  </conditionalFormatting>
  <conditionalFormatting sqref="BH63">
    <cfRule type="expression" dxfId="341" priority="1376">
      <formula>BH63=""</formula>
    </cfRule>
  </conditionalFormatting>
  <conditionalFormatting sqref="BH65:BH66">
    <cfRule type="expression" dxfId="340" priority="1325">
      <formula>BH65=""</formula>
    </cfRule>
  </conditionalFormatting>
  <conditionalFormatting sqref="BH70">
    <cfRule type="expression" dxfId="339" priority="1276">
      <formula>BH70=""</formula>
    </cfRule>
  </conditionalFormatting>
  <conditionalFormatting sqref="BH72:BH73">
    <cfRule type="expression" dxfId="338" priority="1155">
      <formula>BH72=""</formula>
    </cfRule>
  </conditionalFormatting>
  <conditionalFormatting sqref="BH76">
    <cfRule type="expression" dxfId="337" priority="1154">
      <formula>BH76=""</formula>
    </cfRule>
  </conditionalFormatting>
  <conditionalFormatting sqref="BH77">
    <cfRule type="expression" dxfId="336" priority="839">
      <formula>$BH$77=""</formula>
    </cfRule>
  </conditionalFormatting>
  <conditionalFormatting sqref="BJ60:BJ61">
    <cfRule type="expression" dxfId="334" priority="440">
      <formula>AND(BH60="Yes",BJ60&lt;&gt;"")</formula>
    </cfRule>
    <cfRule type="expression" dxfId="333" priority="441">
      <formula>BH60="Yes"</formula>
    </cfRule>
  </conditionalFormatting>
  <conditionalFormatting sqref="BJ63">
    <cfRule type="expression" dxfId="332" priority="331">
      <formula>AND(BH63="Yes",BJ63&lt;&gt;"")</formula>
    </cfRule>
    <cfRule type="expression" dxfId="331" priority="332">
      <formula>BH63="Yes"</formula>
    </cfRule>
  </conditionalFormatting>
  <conditionalFormatting sqref="BJ65:BJ66">
    <cfRule type="expression" dxfId="330" priority="244">
      <formula>AND(BH65="Yes",BJ65&lt;&gt;"")</formula>
    </cfRule>
    <cfRule type="expression" dxfId="329" priority="245">
      <formula>BH65="Yes"</formula>
    </cfRule>
  </conditionalFormatting>
  <conditionalFormatting sqref="BJ70">
    <cfRule type="expression" dxfId="328" priority="157">
      <formula>AND(BH70="Yes",BJ70&lt;&gt;"")</formula>
    </cfRule>
    <cfRule type="expression" dxfId="327" priority="158">
      <formula>BH70="Yes"</formula>
    </cfRule>
  </conditionalFormatting>
  <conditionalFormatting sqref="BJ72:BJ74 BJ77">
    <cfRule type="expression" dxfId="326" priority="70">
      <formula>AND(BH72="Yes",BJ72&lt;&gt;"")</formula>
    </cfRule>
    <cfRule type="expression" dxfId="325" priority="71">
      <formula>BH72="Yes"</formula>
    </cfRule>
  </conditionalFormatting>
  <conditionalFormatting sqref="BK29">
    <cfRule type="iconSet" priority="554">
      <iconSet iconSet="3Symbols" showValue="0">
        <cfvo type="percent" val="0"/>
        <cfvo type="num" val="0"/>
        <cfvo type="num" val="1"/>
      </iconSet>
    </cfRule>
  </conditionalFormatting>
  <conditionalFormatting sqref="BK60:BK61">
    <cfRule type="expression" dxfId="324" priority="1374">
      <formula>BK60=""</formula>
    </cfRule>
  </conditionalFormatting>
  <conditionalFormatting sqref="BK63">
    <cfRule type="expression" dxfId="323" priority="1373">
      <formula>BK63=""</formula>
    </cfRule>
  </conditionalFormatting>
  <conditionalFormatting sqref="BK65:BK66">
    <cfRule type="expression" dxfId="322" priority="1324">
      <formula>BK65=""</formula>
    </cfRule>
  </conditionalFormatting>
  <conditionalFormatting sqref="BK70">
    <cfRule type="expression" dxfId="321" priority="1274">
      <formula>BK70=""</formula>
    </cfRule>
  </conditionalFormatting>
  <conditionalFormatting sqref="BK72:BK73">
    <cfRule type="expression" dxfId="320" priority="1151">
      <formula>BK72=""</formula>
    </cfRule>
  </conditionalFormatting>
  <conditionalFormatting sqref="BK76">
    <cfRule type="expression" dxfId="319" priority="1150">
      <formula>BK76=""</formula>
    </cfRule>
  </conditionalFormatting>
  <conditionalFormatting sqref="BK77">
    <cfRule type="expression" dxfId="318" priority="837">
      <formula>$BK$77=""</formula>
    </cfRule>
  </conditionalFormatting>
  <conditionalFormatting sqref="BM60:BM61">
    <cfRule type="expression" dxfId="316" priority="435">
      <formula>AND(BK60="Yes",BM60&lt;&gt;"")</formula>
    </cfRule>
    <cfRule type="expression" dxfId="315" priority="436">
      <formula>BK60="Yes"</formula>
    </cfRule>
  </conditionalFormatting>
  <conditionalFormatting sqref="BM63">
    <cfRule type="expression" dxfId="314" priority="328">
      <formula>AND(BK63="Yes",BM63&lt;&gt;"")</formula>
    </cfRule>
    <cfRule type="expression" dxfId="313" priority="329">
      <formula>BK63="Yes"</formula>
    </cfRule>
  </conditionalFormatting>
  <conditionalFormatting sqref="BM65:BM66">
    <cfRule type="expression" dxfId="312" priority="241">
      <formula>AND(BK65="Yes",BM65&lt;&gt;"")</formula>
    </cfRule>
    <cfRule type="expression" dxfId="311" priority="242">
      <formula>BK65="Yes"</formula>
    </cfRule>
  </conditionalFormatting>
  <conditionalFormatting sqref="BM70">
    <cfRule type="expression" dxfId="310" priority="154">
      <formula>AND(BK70="Yes",BM70&lt;&gt;"")</formula>
    </cfRule>
    <cfRule type="expression" dxfId="309" priority="155">
      <formula>BK70="Yes"</formula>
    </cfRule>
  </conditionalFormatting>
  <conditionalFormatting sqref="BM72:BM74 BM77">
    <cfRule type="expression" dxfId="308" priority="67">
      <formula>AND(BK72="Yes",BM72&lt;&gt;"")</formula>
    </cfRule>
    <cfRule type="expression" dxfId="307" priority="68">
      <formula>BK72="Yes"</formula>
    </cfRule>
  </conditionalFormatting>
  <conditionalFormatting sqref="BN29">
    <cfRule type="iconSet" priority="553">
      <iconSet iconSet="3Symbols" showValue="0">
        <cfvo type="percent" val="0"/>
        <cfvo type="num" val="0"/>
        <cfvo type="num" val="1"/>
      </iconSet>
    </cfRule>
  </conditionalFormatting>
  <conditionalFormatting sqref="BN60:BN61">
    <cfRule type="expression" dxfId="306" priority="1371">
      <formula>BN60=""</formula>
    </cfRule>
  </conditionalFormatting>
  <conditionalFormatting sqref="BN63">
    <cfRule type="expression" dxfId="305" priority="1370">
      <formula>BN63=""</formula>
    </cfRule>
  </conditionalFormatting>
  <conditionalFormatting sqref="BN65:BN66">
    <cfRule type="expression" dxfId="304" priority="1323">
      <formula>BN65=""</formula>
    </cfRule>
  </conditionalFormatting>
  <conditionalFormatting sqref="BN70">
    <cfRule type="expression" dxfId="303" priority="1272">
      <formula>BN70=""</formula>
    </cfRule>
  </conditionalFormatting>
  <conditionalFormatting sqref="BN72:BN73">
    <cfRule type="expression" dxfId="302" priority="1147">
      <formula>BN72=""</formula>
    </cfRule>
  </conditionalFormatting>
  <conditionalFormatting sqref="BN76">
    <cfRule type="expression" dxfId="301" priority="1146">
      <formula>BN76=""</formula>
    </cfRule>
  </conditionalFormatting>
  <conditionalFormatting sqref="BN77">
    <cfRule type="expression" dxfId="300" priority="825">
      <formula>$BN$77=""</formula>
    </cfRule>
  </conditionalFormatting>
  <conditionalFormatting sqref="BP60:BP61">
    <cfRule type="expression" dxfId="298" priority="430">
      <formula>AND(BN60="Yes",BP60&lt;&gt;"")</formula>
    </cfRule>
    <cfRule type="expression" dxfId="297" priority="431">
      <formula>BN60="Yes"</formula>
    </cfRule>
  </conditionalFormatting>
  <conditionalFormatting sqref="BP63">
    <cfRule type="expression" dxfId="296" priority="325">
      <formula>AND(BN63="Yes",BP63&lt;&gt;"")</formula>
    </cfRule>
    <cfRule type="expression" dxfId="295" priority="326">
      <formula>BN63="Yes"</formula>
    </cfRule>
  </conditionalFormatting>
  <conditionalFormatting sqref="BP65:BP66">
    <cfRule type="expression" dxfId="294" priority="238">
      <formula>AND(BN65="Yes",BP65&lt;&gt;"")</formula>
    </cfRule>
    <cfRule type="expression" dxfId="293" priority="239">
      <formula>BN65="Yes"</formula>
    </cfRule>
  </conditionalFormatting>
  <conditionalFormatting sqref="BP70">
    <cfRule type="expression" dxfId="292" priority="151">
      <formula>AND(BN70="Yes",BP70&lt;&gt;"")</formula>
    </cfRule>
    <cfRule type="expression" dxfId="291" priority="152">
      <formula>BN70="Yes"</formula>
    </cfRule>
  </conditionalFormatting>
  <conditionalFormatting sqref="BP72:BP74 BP77">
    <cfRule type="expression" dxfId="290" priority="64">
      <formula>AND(BN72="Yes",BP72&lt;&gt;"")</formula>
    </cfRule>
    <cfRule type="expression" dxfId="289" priority="65">
      <formula>BN72="Yes"</formula>
    </cfRule>
  </conditionalFormatting>
  <conditionalFormatting sqref="BQ29">
    <cfRule type="iconSet" priority="552">
      <iconSet iconSet="3Symbols" showValue="0">
        <cfvo type="percent" val="0"/>
        <cfvo type="num" val="0"/>
        <cfvo type="num" val="1"/>
      </iconSet>
    </cfRule>
  </conditionalFormatting>
  <conditionalFormatting sqref="BQ60:BQ61">
    <cfRule type="expression" dxfId="288" priority="1368">
      <formula>BQ60=""</formula>
    </cfRule>
  </conditionalFormatting>
  <conditionalFormatting sqref="BQ63">
    <cfRule type="expression" dxfId="287" priority="1367">
      <formula>BQ63=""</formula>
    </cfRule>
  </conditionalFormatting>
  <conditionalFormatting sqref="BQ65:BQ66">
    <cfRule type="expression" dxfId="286" priority="1322">
      <formula>BQ65=""</formula>
    </cfRule>
  </conditionalFormatting>
  <conditionalFormatting sqref="BQ70">
    <cfRule type="expression" dxfId="285" priority="1270">
      <formula>BQ70=""</formula>
    </cfRule>
  </conditionalFormatting>
  <conditionalFormatting sqref="BQ72:BQ73">
    <cfRule type="expression" dxfId="284" priority="1143">
      <formula>BQ72=""</formula>
    </cfRule>
  </conditionalFormatting>
  <conditionalFormatting sqref="BQ76">
    <cfRule type="expression" dxfId="283" priority="1142">
      <formula>BQ76=""</formula>
    </cfRule>
  </conditionalFormatting>
  <conditionalFormatting sqref="BQ77">
    <cfRule type="expression" dxfId="282" priority="877">
      <formula>$BQ$77=""</formula>
    </cfRule>
  </conditionalFormatting>
  <conditionalFormatting sqref="BS60:BS61">
    <cfRule type="expression" dxfId="279" priority="425">
      <formula>AND(BQ60="Yes",BS60&lt;&gt;"")</formula>
    </cfRule>
    <cfRule type="expression" dxfId="278" priority="426">
      <formula>BQ60="Yes"</formula>
    </cfRule>
  </conditionalFormatting>
  <conditionalFormatting sqref="BS63">
    <cfRule type="expression" dxfId="277" priority="322">
      <formula>AND(BQ63="Yes",BS63&lt;&gt;"")</formula>
    </cfRule>
    <cfRule type="expression" dxfId="276" priority="323">
      <formula>BQ63="Yes"</formula>
    </cfRule>
  </conditionalFormatting>
  <conditionalFormatting sqref="BS65:BS66">
    <cfRule type="expression" dxfId="275" priority="235">
      <formula>AND(BQ65="Yes",BS65&lt;&gt;"")</formula>
    </cfRule>
    <cfRule type="expression" dxfId="274" priority="236">
      <formula>BQ65="Yes"</formula>
    </cfRule>
  </conditionalFormatting>
  <conditionalFormatting sqref="BS70">
    <cfRule type="expression" dxfId="273" priority="148">
      <formula>AND(BQ70="Yes",BS70&lt;&gt;"")</formula>
    </cfRule>
    <cfRule type="expression" dxfId="272" priority="149">
      <formula>BQ70="Yes"</formula>
    </cfRule>
  </conditionalFormatting>
  <conditionalFormatting sqref="BS72:BS74 BS77">
    <cfRule type="expression" dxfId="271" priority="61">
      <formula>AND(BQ72="Yes",BS72&lt;&gt;"")</formula>
    </cfRule>
    <cfRule type="expression" dxfId="270" priority="62">
      <formula>BQ72="Yes"</formula>
    </cfRule>
  </conditionalFormatting>
  <conditionalFormatting sqref="BT29">
    <cfRule type="iconSet" priority="551">
      <iconSet iconSet="3Symbols" showValue="0">
        <cfvo type="percent" val="0"/>
        <cfvo type="num" val="0"/>
        <cfvo type="num" val="1"/>
      </iconSet>
    </cfRule>
  </conditionalFormatting>
  <conditionalFormatting sqref="BT60:BT61">
    <cfRule type="expression" dxfId="269" priority="1365">
      <formula>BT60=""</formula>
    </cfRule>
  </conditionalFormatting>
  <conditionalFormatting sqref="BT63">
    <cfRule type="expression" dxfId="268" priority="1364">
      <formula>BT63=""</formula>
    </cfRule>
  </conditionalFormatting>
  <conditionalFormatting sqref="BT65:BT66">
    <cfRule type="expression" dxfId="267" priority="1321">
      <formula>BT65=""</formula>
    </cfRule>
  </conditionalFormatting>
  <conditionalFormatting sqref="BT70">
    <cfRule type="expression" dxfId="266" priority="1268">
      <formula>BT70=""</formula>
    </cfRule>
  </conditionalFormatting>
  <conditionalFormatting sqref="BT72:BT73">
    <cfRule type="expression" dxfId="265" priority="1139">
      <formula>BT72=""</formula>
    </cfRule>
  </conditionalFormatting>
  <conditionalFormatting sqref="BT76">
    <cfRule type="expression" dxfId="264" priority="1138">
      <formula>BT76=""</formula>
    </cfRule>
  </conditionalFormatting>
  <conditionalFormatting sqref="BT77">
    <cfRule type="expression" dxfId="263" priority="823">
      <formula>$BT$77=""</formula>
    </cfRule>
  </conditionalFormatting>
  <conditionalFormatting sqref="BV60:BV61">
    <cfRule type="expression" dxfId="261" priority="420">
      <formula>AND(BT60="Yes",BV60&lt;&gt;"")</formula>
    </cfRule>
    <cfRule type="expression" dxfId="260" priority="421">
      <formula>BT60="Yes"</formula>
    </cfRule>
  </conditionalFormatting>
  <conditionalFormatting sqref="BV63">
    <cfRule type="expression" dxfId="259" priority="319">
      <formula>AND(BT63="Yes",BV63&lt;&gt;"")</formula>
    </cfRule>
    <cfRule type="expression" dxfId="258" priority="320">
      <formula>BT63="Yes"</formula>
    </cfRule>
  </conditionalFormatting>
  <conditionalFormatting sqref="BV65:BV66">
    <cfRule type="expression" dxfId="257" priority="232">
      <formula>AND(BT65="Yes",BV65&lt;&gt;"")</formula>
    </cfRule>
    <cfRule type="expression" dxfId="256" priority="233">
      <formula>BT65="Yes"</formula>
    </cfRule>
  </conditionalFormatting>
  <conditionalFormatting sqref="BV70">
    <cfRule type="expression" dxfId="255" priority="145">
      <formula>AND(BT70="Yes",BV70&lt;&gt;"")</formula>
    </cfRule>
    <cfRule type="expression" dxfId="254" priority="146">
      <formula>BT70="Yes"</formula>
    </cfRule>
  </conditionalFormatting>
  <conditionalFormatting sqref="BV72:BV74 BV77">
    <cfRule type="expression" dxfId="253" priority="58">
      <formula>AND(BT72="Yes",BV72&lt;&gt;"")</formula>
    </cfRule>
    <cfRule type="expression" dxfId="252" priority="59">
      <formula>BT72="Yes"</formula>
    </cfRule>
  </conditionalFormatting>
  <conditionalFormatting sqref="BW29">
    <cfRule type="iconSet" priority="550">
      <iconSet iconSet="3Symbols" showValue="0">
        <cfvo type="percent" val="0"/>
        <cfvo type="num" val="0"/>
        <cfvo type="num" val="1"/>
      </iconSet>
    </cfRule>
  </conditionalFormatting>
  <conditionalFormatting sqref="BW60:BW61">
    <cfRule type="expression" dxfId="251" priority="1362">
      <formula>BW60=""</formula>
    </cfRule>
  </conditionalFormatting>
  <conditionalFormatting sqref="BW63">
    <cfRule type="expression" dxfId="250" priority="1361">
      <formula>BW63=""</formula>
    </cfRule>
  </conditionalFormatting>
  <conditionalFormatting sqref="BW65:BW66">
    <cfRule type="expression" dxfId="249" priority="1320">
      <formula>BW65=""</formula>
    </cfRule>
  </conditionalFormatting>
  <conditionalFormatting sqref="BW70">
    <cfRule type="expression" dxfId="248" priority="1266">
      <formula>BW70=""</formula>
    </cfRule>
  </conditionalFormatting>
  <conditionalFormatting sqref="BW72:BW73">
    <cfRule type="expression" dxfId="247" priority="1135">
      <formula>BW72=""</formula>
    </cfRule>
  </conditionalFormatting>
  <conditionalFormatting sqref="BW76">
    <cfRule type="expression" dxfId="246" priority="1134">
      <formula>BW76=""</formula>
    </cfRule>
  </conditionalFormatting>
  <conditionalFormatting sqref="BW77">
    <cfRule type="expression" dxfId="245" priority="822">
      <formula>$BW$77=""</formula>
    </cfRule>
  </conditionalFormatting>
  <conditionalFormatting sqref="BY60:BY61">
    <cfRule type="expression" dxfId="243" priority="415">
      <formula>AND(BW60="Yes",BY60&lt;&gt;"")</formula>
    </cfRule>
    <cfRule type="expression" dxfId="242" priority="416">
      <formula>BW60="Yes"</formula>
    </cfRule>
  </conditionalFormatting>
  <conditionalFormatting sqref="BY63">
    <cfRule type="expression" dxfId="241" priority="316">
      <formula>AND(BW63="Yes",BY63&lt;&gt;"")</formula>
    </cfRule>
    <cfRule type="expression" dxfId="240" priority="317">
      <formula>BW63="Yes"</formula>
    </cfRule>
  </conditionalFormatting>
  <conditionalFormatting sqref="BY65:BY66">
    <cfRule type="expression" dxfId="239" priority="229">
      <formula>AND(BW65="Yes",BY65&lt;&gt;"")</formula>
    </cfRule>
    <cfRule type="expression" dxfId="238" priority="230">
      <formula>BW65="Yes"</formula>
    </cfRule>
  </conditionalFormatting>
  <conditionalFormatting sqref="BY70">
    <cfRule type="expression" dxfId="237" priority="142">
      <formula>AND(BW70="Yes",BY70&lt;&gt;"")</formula>
    </cfRule>
    <cfRule type="expression" dxfId="236" priority="143">
      <formula>BW70="Yes"</formula>
    </cfRule>
  </conditionalFormatting>
  <conditionalFormatting sqref="BY72:BY74 BY77">
    <cfRule type="expression" dxfId="235" priority="55">
      <formula>AND(BW72="Yes",BY72&lt;&gt;"")</formula>
    </cfRule>
    <cfRule type="expression" dxfId="234" priority="56">
      <formula>BW72="Yes"</formula>
    </cfRule>
  </conditionalFormatting>
  <conditionalFormatting sqref="BZ29">
    <cfRule type="iconSet" priority="549">
      <iconSet iconSet="3Symbols" showValue="0">
        <cfvo type="percent" val="0"/>
        <cfvo type="num" val="0"/>
        <cfvo type="num" val="1"/>
      </iconSet>
    </cfRule>
  </conditionalFormatting>
  <conditionalFormatting sqref="BZ60:BZ61">
    <cfRule type="expression" dxfId="233" priority="1359">
      <formula>BZ60=""</formula>
    </cfRule>
  </conditionalFormatting>
  <conditionalFormatting sqref="BZ63">
    <cfRule type="expression" dxfId="232" priority="1358">
      <formula>BZ63=""</formula>
    </cfRule>
  </conditionalFormatting>
  <conditionalFormatting sqref="BZ65:BZ66">
    <cfRule type="expression" dxfId="231" priority="1319">
      <formula>BZ65=""</formula>
    </cfRule>
  </conditionalFormatting>
  <conditionalFormatting sqref="BZ70">
    <cfRule type="expression" dxfId="230" priority="1264">
      <formula>BZ70=""</formula>
    </cfRule>
  </conditionalFormatting>
  <conditionalFormatting sqref="BZ72:BZ73">
    <cfRule type="expression" dxfId="229" priority="1131">
      <formula>BZ72=""</formula>
    </cfRule>
  </conditionalFormatting>
  <conditionalFormatting sqref="BZ76">
    <cfRule type="expression" dxfId="228" priority="1130">
      <formula>BZ76=""</formula>
    </cfRule>
  </conditionalFormatting>
  <conditionalFormatting sqref="BZ77">
    <cfRule type="expression" dxfId="227" priority="821">
      <formula>$BZ$77=""</formula>
    </cfRule>
  </conditionalFormatting>
  <conditionalFormatting sqref="CB60:CB61">
    <cfRule type="expression" dxfId="225" priority="410">
      <formula>AND(BZ60="Yes",CB60&lt;&gt;"")</formula>
    </cfRule>
    <cfRule type="expression" dxfId="224" priority="411">
      <formula>BZ60="Yes"</formula>
    </cfRule>
  </conditionalFormatting>
  <conditionalFormatting sqref="CB63">
    <cfRule type="expression" dxfId="223" priority="313">
      <formula>AND(BZ63="Yes",CB63&lt;&gt;"")</formula>
    </cfRule>
    <cfRule type="expression" dxfId="222" priority="314">
      <formula>BZ63="Yes"</formula>
    </cfRule>
  </conditionalFormatting>
  <conditionalFormatting sqref="CB65:CB66">
    <cfRule type="expression" dxfId="221" priority="226">
      <formula>AND(BZ65="Yes",CB65&lt;&gt;"")</formula>
    </cfRule>
    <cfRule type="expression" dxfId="220" priority="227">
      <formula>BZ65="Yes"</formula>
    </cfRule>
  </conditionalFormatting>
  <conditionalFormatting sqref="CB70">
    <cfRule type="expression" dxfId="219" priority="139">
      <formula>AND(BZ70="Yes",CB70&lt;&gt;"")</formula>
    </cfRule>
    <cfRule type="expression" dxfId="218" priority="140">
      <formula>BZ70="Yes"</formula>
    </cfRule>
  </conditionalFormatting>
  <conditionalFormatting sqref="CB72:CB74 CB77">
    <cfRule type="expression" dxfId="217" priority="52">
      <formula>AND(BZ72="Yes",CB72&lt;&gt;"")</formula>
    </cfRule>
    <cfRule type="expression" dxfId="216" priority="53">
      <formula>BZ72="Yes"</formula>
    </cfRule>
  </conditionalFormatting>
  <conditionalFormatting sqref="CC29">
    <cfRule type="iconSet" priority="548">
      <iconSet iconSet="3Symbols" showValue="0">
        <cfvo type="percent" val="0"/>
        <cfvo type="num" val="0"/>
        <cfvo type="num" val="1"/>
      </iconSet>
    </cfRule>
  </conditionalFormatting>
  <conditionalFormatting sqref="CC60:CC61">
    <cfRule type="expression" dxfId="215" priority="1356">
      <formula>CC60=""</formula>
    </cfRule>
  </conditionalFormatting>
  <conditionalFormatting sqref="CC63">
    <cfRule type="expression" dxfId="214" priority="1355">
      <formula>CC63=""</formula>
    </cfRule>
  </conditionalFormatting>
  <conditionalFormatting sqref="CC65:CC66">
    <cfRule type="expression" dxfId="213" priority="1318">
      <formula>CC65=""</formula>
    </cfRule>
  </conditionalFormatting>
  <conditionalFormatting sqref="CC70">
    <cfRule type="expression" dxfId="212" priority="1262">
      <formula>CC70=""</formula>
    </cfRule>
  </conditionalFormatting>
  <conditionalFormatting sqref="CC72:CC73">
    <cfRule type="expression" dxfId="211" priority="1127">
      <formula>CC72=""</formula>
    </cfRule>
  </conditionalFormatting>
  <conditionalFormatting sqref="CC76">
    <cfRule type="expression" dxfId="210" priority="1126">
      <formula>CC76=""</formula>
    </cfRule>
  </conditionalFormatting>
  <conditionalFormatting sqref="CC77">
    <cfRule type="expression" dxfId="209" priority="819">
      <formula>$CC$77=""</formula>
    </cfRule>
  </conditionalFormatting>
  <conditionalFormatting sqref="CE60:CE61">
    <cfRule type="expression" dxfId="207" priority="405">
      <formula>AND(CC60="Yes",CE60&lt;&gt;"")</formula>
    </cfRule>
    <cfRule type="expression" dxfId="206" priority="406">
      <formula>CC60="Yes"</formula>
    </cfRule>
  </conditionalFormatting>
  <conditionalFormatting sqref="CE63">
    <cfRule type="expression" dxfId="205" priority="310">
      <formula>AND(CC63="Yes",CE63&lt;&gt;"")</formula>
    </cfRule>
    <cfRule type="expression" dxfId="204" priority="311">
      <formula>CC63="Yes"</formula>
    </cfRule>
  </conditionalFormatting>
  <conditionalFormatting sqref="CE65:CE66">
    <cfRule type="expression" dxfId="203" priority="223">
      <formula>AND(CC65="Yes",CE65&lt;&gt;"")</formula>
    </cfRule>
    <cfRule type="expression" dxfId="202" priority="224">
      <formula>CC65="Yes"</formula>
    </cfRule>
  </conditionalFormatting>
  <conditionalFormatting sqref="CE70">
    <cfRule type="expression" dxfId="201" priority="136">
      <formula>AND(CC70="Yes",CE70&lt;&gt;"")</formula>
    </cfRule>
    <cfRule type="expression" dxfId="200" priority="137">
      <formula>CC70="Yes"</formula>
    </cfRule>
  </conditionalFormatting>
  <conditionalFormatting sqref="CE72:CE74 CE77">
    <cfRule type="expression" dxfId="199" priority="49">
      <formula>AND(CC72="Yes",CE72&lt;&gt;"")</formula>
    </cfRule>
    <cfRule type="expression" dxfId="198" priority="50">
      <formula>CC72="Yes"</formula>
    </cfRule>
  </conditionalFormatting>
  <conditionalFormatting sqref="CF29">
    <cfRule type="iconSet" priority="547">
      <iconSet iconSet="3Symbols" showValue="0">
        <cfvo type="percent" val="0"/>
        <cfvo type="num" val="0"/>
        <cfvo type="num" val="1"/>
      </iconSet>
    </cfRule>
  </conditionalFormatting>
  <conditionalFormatting sqref="CF60:CF61">
    <cfRule type="expression" dxfId="197" priority="1353">
      <formula>CF60=""</formula>
    </cfRule>
  </conditionalFormatting>
  <conditionalFormatting sqref="CF63">
    <cfRule type="expression" dxfId="196" priority="1352">
      <formula>CF63=""</formula>
    </cfRule>
  </conditionalFormatting>
  <conditionalFormatting sqref="CF65:CF66">
    <cfRule type="expression" dxfId="195" priority="1317">
      <formula>CF65=""</formula>
    </cfRule>
  </conditionalFormatting>
  <conditionalFormatting sqref="CF70">
    <cfRule type="expression" dxfId="194" priority="1260">
      <formula>CF70=""</formula>
    </cfRule>
  </conditionalFormatting>
  <conditionalFormatting sqref="CF72:CF73">
    <cfRule type="expression" dxfId="193" priority="1123">
      <formula>CF72=""</formula>
    </cfRule>
  </conditionalFormatting>
  <conditionalFormatting sqref="CF76">
    <cfRule type="expression" dxfId="192" priority="1122">
      <formula>CF76=""</formula>
    </cfRule>
  </conditionalFormatting>
  <conditionalFormatting sqref="CF77">
    <cfRule type="expression" dxfId="191" priority="816">
      <formula>$CF$77=""</formula>
    </cfRule>
  </conditionalFormatting>
  <conditionalFormatting sqref="CH60:CH61">
    <cfRule type="expression" dxfId="189" priority="400">
      <formula>AND(CF60="Yes",CH60&lt;&gt;"")</formula>
    </cfRule>
    <cfRule type="expression" dxfId="188" priority="401">
      <formula>CF60="Yes"</formula>
    </cfRule>
  </conditionalFormatting>
  <conditionalFormatting sqref="CH63">
    <cfRule type="expression" dxfId="187" priority="307">
      <formula>AND(CF63="Yes",CH63&lt;&gt;"")</formula>
    </cfRule>
    <cfRule type="expression" dxfId="186" priority="308">
      <formula>CF63="Yes"</formula>
    </cfRule>
  </conditionalFormatting>
  <conditionalFormatting sqref="CH65:CH66">
    <cfRule type="expression" dxfId="185" priority="220">
      <formula>AND(CF65="Yes",CH65&lt;&gt;"")</formula>
    </cfRule>
    <cfRule type="expression" dxfId="184" priority="221">
      <formula>CF65="Yes"</formula>
    </cfRule>
  </conditionalFormatting>
  <conditionalFormatting sqref="CH70">
    <cfRule type="expression" dxfId="183" priority="133">
      <formula>AND(CF70="Yes",CH70&lt;&gt;"")</formula>
    </cfRule>
    <cfRule type="expression" dxfId="182" priority="134">
      <formula>CF70="Yes"</formula>
    </cfRule>
  </conditionalFormatting>
  <conditionalFormatting sqref="CH72:CH74 CH77">
    <cfRule type="expression" dxfId="181" priority="46">
      <formula>AND(CF72="Yes",CH72&lt;&gt;"")</formula>
    </cfRule>
    <cfRule type="expression" dxfId="180" priority="47">
      <formula>CF72="Yes"</formula>
    </cfRule>
  </conditionalFormatting>
  <conditionalFormatting sqref="CI29">
    <cfRule type="iconSet" priority="546">
      <iconSet iconSet="3Symbols" showValue="0">
        <cfvo type="percent" val="0"/>
        <cfvo type="num" val="0"/>
        <cfvo type="num" val="1"/>
      </iconSet>
    </cfRule>
  </conditionalFormatting>
  <conditionalFormatting sqref="CI60:CI61">
    <cfRule type="expression" dxfId="179" priority="1350">
      <formula>CI60=""</formula>
    </cfRule>
  </conditionalFormatting>
  <conditionalFormatting sqref="CI63">
    <cfRule type="expression" dxfId="178" priority="1349">
      <formula>CI63=""</formula>
    </cfRule>
  </conditionalFormatting>
  <conditionalFormatting sqref="CI65:CI66">
    <cfRule type="expression" dxfId="177" priority="1316">
      <formula>CI65=""</formula>
    </cfRule>
  </conditionalFormatting>
  <conditionalFormatting sqref="CI70">
    <cfRule type="expression" dxfId="176" priority="1258">
      <formula>CI70=""</formula>
    </cfRule>
  </conditionalFormatting>
  <conditionalFormatting sqref="CI72:CI73">
    <cfRule type="expression" dxfId="175" priority="1119">
      <formula>CI72=""</formula>
    </cfRule>
  </conditionalFormatting>
  <conditionalFormatting sqref="CI76">
    <cfRule type="expression" dxfId="174" priority="1118">
      <formula>CI76=""</formula>
    </cfRule>
  </conditionalFormatting>
  <conditionalFormatting sqref="CI77">
    <cfRule type="expression" dxfId="173" priority="814">
      <formula>$CI$77=""</formula>
    </cfRule>
  </conditionalFormatting>
  <conditionalFormatting sqref="CK60:CK61">
    <cfRule type="expression" dxfId="171" priority="395">
      <formula>AND(CI60="Yes",CK60&lt;&gt;"")</formula>
    </cfRule>
    <cfRule type="expression" dxfId="170" priority="396">
      <formula>CI60="Yes"</formula>
    </cfRule>
  </conditionalFormatting>
  <conditionalFormatting sqref="CK63">
    <cfRule type="expression" dxfId="169" priority="304">
      <formula>AND(CI63="Yes",CK63&lt;&gt;"")</formula>
    </cfRule>
    <cfRule type="expression" dxfId="168" priority="305">
      <formula>CI63="Yes"</formula>
    </cfRule>
  </conditionalFormatting>
  <conditionalFormatting sqref="CK65:CK66">
    <cfRule type="expression" dxfId="167" priority="217">
      <formula>AND(CI65="Yes",CK65&lt;&gt;"")</formula>
    </cfRule>
    <cfRule type="expression" dxfId="166" priority="218">
      <formula>CI65="Yes"</formula>
    </cfRule>
  </conditionalFormatting>
  <conditionalFormatting sqref="CK70">
    <cfRule type="expression" dxfId="165" priority="130">
      <formula>AND(CI70="Yes",CK70&lt;&gt;"")</formula>
    </cfRule>
    <cfRule type="expression" dxfId="164" priority="131">
      <formula>CI70="Yes"</formula>
    </cfRule>
  </conditionalFormatting>
  <conditionalFormatting sqref="CK72:CK74 CK77">
    <cfRule type="expression" dxfId="163" priority="43">
      <formula>AND(CI72="Yes",CK72&lt;&gt;"")</formula>
    </cfRule>
    <cfRule type="expression" dxfId="162" priority="44">
      <formula>CI72="Yes"</formula>
    </cfRule>
  </conditionalFormatting>
  <conditionalFormatting sqref="CL29">
    <cfRule type="iconSet" priority="545">
      <iconSet iconSet="3Symbols" showValue="0">
        <cfvo type="percent" val="0"/>
        <cfvo type="num" val="0"/>
        <cfvo type="num" val="1"/>
      </iconSet>
    </cfRule>
  </conditionalFormatting>
  <conditionalFormatting sqref="CL60:CL61">
    <cfRule type="expression" dxfId="161" priority="1347">
      <formula>CL60=""</formula>
    </cfRule>
  </conditionalFormatting>
  <conditionalFormatting sqref="CL63">
    <cfRule type="expression" dxfId="160" priority="1346">
      <formula>CL63=""</formula>
    </cfRule>
  </conditionalFormatting>
  <conditionalFormatting sqref="CL65:CL66">
    <cfRule type="expression" dxfId="159" priority="1315">
      <formula>CL65=""</formula>
    </cfRule>
  </conditionalFormatting>
  <conditionalFormatting sqref="CL70">
    <cfRule type="expression" dxfId="158" priority="1256">
      <formula>CL70=""</formula>
    </cfRule>
  </conditionalFormatting>
  <conditionalFormatting sqref="CL72:CL73">
    <cfRule type="expression" dxfId="157" priority="1115">
      <formula>CL72=""</formula>
    </cfRule>
  </conditionalFormatting>
  <conditionalFormatting sqref="CL76">
    <cfRule type="expression" dxfId="156" priority="1114">
      <formula>CL76=""</formula>
    </cfRule>
  </conditionalFormatting>
  <conditionalFormatting sqref="CL77">
    <cfRule type="expression" dxfId="155" priority="811">
      <formula>$CL$77=""</formula>
    </cfRule>
  </conditionalFormatting>
  <conditionalFormatting sqref="CN60:CN61">
    <cfRule type="expression" dxfId="153" priority="390">
      <formula>AND(CL60="Yes",CN60&lt;&gt;"")</formula>
    </cfRule>
    <cfRule type="expression" dxfId="152" priority="391">
      <formula>CL60="Yes"</formula>
    </cfRule>
  </conditionalFormatting>
  <conditionalFormatting sqref="CN63">
    <cfRule type="expression" dxfId="151" priority="301">
      <formula>AND(CL63="Yes",CN63&lt;&gt;"")</formula>
    </cfRule>
    <cfRule type="expression" dxfId="150" priority="302">
      <formula>CL63="Yes"</formula>
    </cfRule>
  </conditionalFormatting>
  <conditionalFormatting sqref="CN65:CN66">
    <cfRule type="expression" dxfId="149" priority="214">
      <formula>AND(CL65="Yes",CN65&lt;&gt;"")</formula>
    </cfRule>
    <cfRule type="expression" dxfId="148" priority="215">
      <formula>CL65="Yes"</formula>
    </cfRule>
  </conditionalFormatting>
  <conditionalFormatting sqref="CN70">
    <cfRule type="expression" dxfId="147" priority="127">
      <formula>AND(CL70="Yes",CN70&lt;&gt;"")</formula>
    </cfRule>
    <cfRule type="expression" dxfId="146" priority="128">
      <formula>CL70="Yes"</formula>
    </cfRule>
  </conditionalFormatting>
  <conditionalFormatting sqref="CN72:CN74 CN77">
    <cfRule type="expression" dxfId="145" priority="40">
      <formula>AND(CL72="Yes",CN72&lt;&gt;"")</formula>
    </cfRule>
    <cfRule type="expression" dxfId="144" priority="41">
      <formula>CL72="Yes"</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972">
      <iconSet iconSet="3Symbols" showValue="0">
        <cfvo type="percent" val="0"/>
        <cfvo type="num" val="0"/>
        <cfvo type="num" val="1"/>
      </iconSet>
    </cfRule>
  </conditionalFormatting>
  <conditionalFormatting sqref="CO29">
    <cfRule type="iconSet" priority="544">
      <iconSet iconSet="3Symbols" showValue="0">
        <cfvo type="percent" val="0"/>
        <cfvo type="num" val="0"/>
        <cfvo type="num" val="1"/>
      </iconSet>
    </cfRule>
  </conditionalFormatting>
  <conditionalFormatting sqref="CO60:CO61">
    <cfRule type="expression" dxfId="143" priority="1344">
      <formula>CO60=""</formula>
    </cfRule>
  </conditionalFormatting>
  <conditionalFormatting sqref="CO63">
    <cfRule type="expression" dxfId="142" priority="1343">
      <formula>CO63=""</formula>
    </cfRule>
  </conditionalFormatting>
  <conditionalFormatting sqref="CO65:CO66">
    <cfRule type="expression" dxfId="141" priority="1314">
      <formula>CO65=""</formula>
    </cfRule>
  </conditionalFormatting>
  <conditionalFormatting sqref="CO70">
    <cfRule type="expression" dxfId="140" priority="1254">
      <formula>CO70=""</formula>
    </cfRule>
  </conditionalFormatting>
  <conditionalFormatting sqref="CO72:CO73">
    <cfRule type="expression" dxfId="139" priority="1111">
      <formula>CO72=""</formula>
    </cfRule>
  </conditionalFormatting>
  <conditionalFormatting sqref="CO76">
    <cfRule type="expression" dxfId="138" priority="1110">
      <formula>CO76=""</formula>
    </cfRule>
  </conditionalFormatting>
  <conditionalFormatting sqref="CO77">
    <cfRule type="expression" dxfId="137" priority="541">
      <formula>$CO$77=""</formula>
    </cfRule>
  </conditionalFormatting>
  <conditionalFormatting sqref="CQ60:CQ61">
    <cfRule type="expression" dxfId="135" priority="385">
      <formula>AND(CO60="Yes",CQ60&lt;&gt;"")</formula>
    </cfRule>
    <cfRule type="expression" dxfId="134" priority="386">
      <formula>CO60="Yes"</formula>
    </cfRule>
  </conditionalFormatting>
  <conditionalFormatting sqref="CQ63">
    <cfRule type="expression" dxfId="133" priority="298">
      <formula>AND(CO63="Yes",CQ63&lt;&gt;"")</formula>
    </cfRule>
    <cfRule type="expression" dxfId="132" priority="299">
      <formula>CO63="Yes"</formula>
    </cfRule>
  </conditionalFormatting>
  <conditionalFormatting sqref="CQ65:CQ66">
    <cfRule type="expression" dxfId="131" priority="211">
      <formula>AND(CO65="Yes",CQ65&lt;&gt;"")</formula>
    </cfRule>
    <cfRule type="expression" dxfId="130" priority="212">
      <formula>CO65="Yes"</formula>
    </cfRule>
  </conditionalFormatting>
  <conditionalFormatting sqref="CQ70">
    <cfRule type="expression" dxfId="129" priority="124">
      <formula>AND(CO70="Yes",CQ70&lt;&gt;"")</formula>
    </cfRule>
    <cfRule type="expression" dxfId="128" priority="125">
      <formula>CO70="Yes"</formula>
    </cfRule>
  </conditionalFormatting>
  <conditionalFormatting sqref="CQ72:CQ74 CQ77">
    <cfRule type="expression" dxfId="127" priority="37">
      <formula>AND(CO72="Yes",CQ72&lt;&gt;"")</formula>
    </cfRule>
    <cfRule type="expression" dxfId="126" priority="38">
      <formula>CO72="Yes"</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iconSet" priority="834"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33"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32"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31"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30"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29"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28"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27"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26"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31"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F77:H93 F6:H75 F76:F77</xm:sqref>
        </x14:conditionalFormatting>
        <x14:conditionalFormatting xmlns:xm="http://schemas.microsoft.com/office/excel/2006/main">
          <x14:cfRule type="expression" priority="35" id="{712BD7EF-A657-43EF-8632-CE8A10AA4E0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I16:K22</xm:sqref>
        </x14:conditionalFormatting>
        <x14:conditionalFormatting xmlns:xm="http://schemas.microsoft.com/office/excel/2006/main">
          <x14:cfRule type="expression" priority="30"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I77:K93 I6:K75 I76</xm:sqref>
        </x14:conditionalFormatting>
        <x14:conditionalFormatting xmlns:xm="http://schemas.microsoft.com/office/excel/2006/main">
          <x14:cfRule type="expression" priority="29"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L77:N93 L6:N74 L75:L76</xm:sqref>
        </x14:conditionalFormatting>
        <x14:conditionalFormatting xmlns:xm="http://schemas.microsoft.com/office/excel/2006/main">
          <x14:cfRule type="expression" priority="28"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O77:Q93 O6:Q74 O75:O76</xm:sqref>
        </x14:conditionalFormatting>
        <x14:conditionalFormatting xmlns:xm="http://schemas.microsoft.com/office/excel/2006/main">
          <x14:cfRule type="expression" priority="27"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R77:T93 R6:T74 R75:R76</xm:sqref>
        </x14:conditionalFormatting>
        <x14:conditionalFormatting xmlns:xm="http://schemas.microsoft.com/office/excel/2006/main">
          <x14:cfRule type="expression" priority="34"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 xmlns:xm="http://schemas.microsoft.com/office/excel/2006/main">
          <x14:cfRule type="expression" priority="26"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U77:W93 U6:W74 U75:U76</xm:sqref>
        </x14:conditionalFormatting>
        <x14:conditionalFormatting xmlns:xm="http://schemas.microsoft.com/office/excel/2006/main">
          <x14:cfRule type="expression" priority="25"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X77:Z93 X6:Z74 X75:X76</xm:sqref>
        </x14:conditionalFormatting>
        <x14:conditionalFormatting xmlns:xm="http://schemas.microsoft.com/office/excel/2006/main">
          <x14:cfRule type="expression" priority="24"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AA77:AC93 AA6:AC74 AA75:AA76</xm:sqref>
        </x14:conditionalFormatting>
        <x14:conditionalFormatting xmlns:xm="http://schemas.microsoft.com/office/excel/2006/main">
          <x14:cfRule type="expression" priority="23"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AD77:AF93 AD6:AF74 AD75:AD76</xm:sqref>
        </x14:conditionalFormatting>
        <x14:conditionalFormatting xmlns:xm="http://schemas.microsoft.com/office/excel/2006/main">
          <x14:cfRule type="expression" priority="22"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AG77:AI93 AG6:AI74 AG75:AG76</xm:sqref>
        </x14:conditionalFormatting>
        <x14:conditionalFormatting xmlns:xm="http://schemas.microsoft.com/office/excel/2006/main">
          <x14:cfRule type="expression" priority="21"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AJ77:AL93 AJ6:AL74 AJ75:AJ76</xm:sqref>
        </x14:conditionalFormatting>
        <x14:conditionalFormatting xmlns:xm="http://schemas.microsoft.com/office/excel/2006/main">
          <x14:cfRule type="expression" priority="20"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AM77:AO93 AM6:AO74 AM75:AM76</xm:sqref>
        </x14:conditionalFormatting>
        <x14:conditionalFormatting xmlns:xm="http://schemas.microsoft.com/office/excel/2006/main">
          <x14:cfRule type="expression" priority="19"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AP77:AR93 AP6:AR74 AP75:AP76</xm:sqref>
        </x14:conditionalFormatting>
        <x14:conditionalFormatting xmlns:xm="http://schemas.microsoft.com/office/excel/2006/main">
          <x14:cfRule type="expression" priority="18"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AS77:AU93 AS6:AU74 AS75:AS76</xm:sqref>
        </x14:conditionalFormatting>
        <x14:conditionalFormatting xmlns:xm="http://schemas.microsoft.com/office/excel/2006/main">
          <x14:cfRule type="expression" priority="17"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AV77:AX93 AV6:AX74 AV75:AV76</xm:sqref>
        </x14:conditionalFormatting>
        <x14:conditionalFormatting xmlns:xm="http://schemas.microsoft.com/office/excel/2006/main">
          <x14:cfRule type="expression" priority="16"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AY77:BA93 AY6:BA74 AY75:AY76</xm:sqref>
        </x14:conditionalFormatting>
        <x14:conditionalFormatting xmlns:xm="http://schemas.microsoft.com/office/excel/2006/main">
          <x14:cfRule type="expression" priority="15"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BB77:BD93 BB6:BD74 BB75:BB76</xm:sqref>
        </x14:conditionalFormatting>
        <x14:conditionalFormatting xmlns:xm="http://schemas.microsoft.com/office/excel/2006/main">
          <x14:cfRule type="expression" priority="14"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BE77:BG93 BE6:BG74 BE75:BE76</xm:sqref>
        </x14:conditionalFormatting>
        <x14:conditionalFormatting xmlns:xm="http://schemas.microsoft.com/office/excel/2006/main">
          <x14:cfRule type="expression" priority="13"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BH77:BJ93 BH6:BJ74 BH75:BH76</xm:sqref>
        </x14:conditionalFormatting>
        <x14:conditionalFormatting xmlns:xm="http://schemas.microsoft.com/office/excel/2006/main">
          <x14:cfRule type="expression" priority="12"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BK77:BM93 BK6:BM74 BK75:BK76</xm:sqref>
        </x14:conditionalFormatting>
        <x14:conditionalFormatting xmlns:xm="http://schemas.microsoft.com/office/excel/2006/main">
          <x14:cfRule type="expression" priority="11"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BN77:BP93 BN6:BP74 BN75:BN76</xm:sqref>
        </x14:conditionalFormatting>
        <x14:conditionalFormatting xmlns:xm="http://schemas.microsoft.com/office/excel/2006/main">
          <x14:cfRule type="expression" priority="813"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10"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BQ77:BS93 BQ6:BS22 BQ24:BS74 BQ75:BQ76</xm:sqref>
        </x14:conditionalFormatting>
        <x14:conditionalFormatting xmlns:xm="http://schemas.microsoft.com/office/excel/2006/main">
          <x14:cfRule type="expression" priority="9"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BT77:BV93 BT6:BV74 BT75:BT76</xm:sqref>
        </x14:conditionalFormatting>
        <x14:conditionalFormatting xmlns:xm="http://schemas.microsoft.com/office/excel/2006/main">
          <x14:cfRule type="expression" priority="8"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BW77:BY93 BW6:BY74 BW75:BW76</xm:sqref>
        </x14:conditionalFormatting>
        <x14:conditionalFormatting xmlns:xm="http://schemas.microsoft.com/office/excel/2006/main">
          <x14:cfRule type="expression" priority="7"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BZ77:CB93 BZ6:CB74 BZ75:BZ76</xm:sqref>
        </x14:conditionalFormatting>
        <x14:conditionalFormatting xmlns:xm="http://schemas.microsoft.com/office/excel/2006/main">
          <x14:cfRule type="expression" priority="6"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CC77:CE93 CC6:CE74 CC75:CC76</xm:sqref>
        </x14:conditionalFormatting>
        <x14:conditionalFormatting xmlns:xm="http://schemas.microsoft.com/office/excel/2006/main">
          <x14:cfRule type="expression" priority="5"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CF77:CH93 CF6:CH74 CF75:CF76</xm:sqref>
        </x14:conditionalFormatting>
        <x14:conditionalFormatting xmlns:xm="http://schemas.microsoft.com/office/excel/2006/main">
          <x14:cfRule type="expression" priority="4"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CI77:CK93 CI6:CK74 CI75:CI76</xm:sqref>
        </x14:conditionalFormatting>
        <x14:conditionalFormatting xmlns:xm="http://schemas.microsoft.com/office/excel/2006/main">
          <x14:cfRule type="expression" priority="3"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CL77:CN93 CL6:CN74 CL75:CL76</xm:sqref>
        </x14:conditionalFormatting>
        <x14:conditionalFormatting xmlns:xm="http://schemas.microsoft.com/office/excel/2006/main">
          <x14:cfRule type="expression" priority="2"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CO77:CQ93 CO6:CQ74 CO75:CO76</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70" zoomScaleNormal="70" workbookViewId="0">
      <pane xSplit="1" ySplit="12" topLeftCell="S64" activePane="bottomRight" state="frozen"/>
      <selection pane="topRight" activeCell="B1" sqref="B1"/>
      <selection pane="bottomLeft" activeCell="A13" sqref="A13"/>
      <selection pane="bottomRight" activeCell="V63" sqref="V63"/>
    </sheetView>
  </sheetViews>
  <sheetFormatPr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258</v>
      </c>
    </row>
    <row r="4" spans="1:31" s="90" customFormat="1" x14ac:dyDescent="0.25">
      <c r="A4" s="91"/>
    </row>
    <row r="5" spans="1:31" s="90" customFormat="1" ht="17.25" customHeight="1" thickBot="1" x14ac:dyDescent="0.3">
      <c r="A5" s="92" t="s">
        <v>259</v>
      </c>
    </row>
    <row r="6" spans="1:31" s="93" customFormat="1" ht="29.25" customHeight="1" x14ac:dyDescent="0.2">
      <c r="A6" s="60" t="s">
        <v>260</v>
      </c>
      <c r="B6" s="167" t="str">
        <f>IF(SUMMARY!C7="","",SUMMARY!I7)</f>
        <v>Jill M. Brooks, 2019</v>
      </c>
      <c r="C6" s="167" t="str">
        <f>IF(SUMMARY!C8="","",SUMMARY!I8)</f>
        <v>Edian F. Franco, 2013</v>
      </c>
      <c r="D6" s="167" t="str">
        <f>IF(SUMMARY!C9="","",SUMMARY!I9)</f>
        <v>Cheng-Peng Gui, 2021</v>
      </c>
      <c r="E6" s="167" t="str">
        <f>IF(SUMMARY!C10="","",SUMMARY!I10)</f>
        <v>Yifan Liu, 2020</v>
      </c>
      <c r="F6" s="167" t="e">
        <f>IF(SUMMARY!C11="","",SUMMARY!I11)</f>
        <v>#REF!</v>
      </c>
      <c r="G6" s="167" t="str">
        <f>IF(SUMMARY!C12="","",SUMMARY!I12)</f>
        <v>Jia Li, 2022</v>
      </c>
      <c r="H6" s="167" t="str">
        <f>IF(SUMMARY!C13="","",SUMMARY!I13)</f>
        <v>Run Shi , 2021</v>
      </c>
      <c r="I6" s="167" t="str">
        <f>IF(SUMMARY!C14="","",SUMMARY!I14)</f>
        <v>Jun Shao, 2021</v>
      </c>
      <c r="J6" s="167" t="str">
        <f>IF(SUMMARY!C15="","",SUMMARY!I15)</f>
        <v>Baohui Zhang, 2020</v>
      </c>
      <c r="K6" s="167" t="str">
        <f>IF(SUMMARY!C16="","",SUMMARY!I16)</f>
        <v>Qiangnu Zhang, 2021</v>
      </c>
      <c r="L6" s="167" t="str">
        <f>IF(SUMMARY!C17="","",SUMMARY!I17)</f>
        <v>Fanhong Zeng, 2021</v>
      </c>
      <c r="M6" s="167" t="str">
        <f>IF(SUMMARY!C18="","",SUMMARY!I18)</f>
        <v>Brian Lane, 2022</v>
      </c>
      <c r="N6" s="167" t="str">
        <f>IF(SUMMARY!C19="","",SUMMARY!I19)</f>
        <v>Ke Wang, 2022</v>
      </c>
      <c r="O6" s="167" t="str">
        <f>IF(SUMMARY!C20="","",SUMMARY!I20)</f>
        <v>Xiong Tian, 2022</v>
      </c>
      <c r="P6" s="167" t="str">
        <f>IF(SUMMARY!C21="","",SUMMARY!I21)</f>
        <v>Dongjie Chen, 2021</v>
      </c>
      <c r="Q6" s="167" t="str">
        <f>IF(SUMMARY!C22="","",SUMMARY!I22)</f>
        <v>Yanhong Shou, 2021</v>
      </c>
      <c r="R6" s="167" t="str">
        <f>IF(SUMMARY!C23="","",SUMMARY!I23)</f>
        <v>Xiangqian Zhang, 2023</v>
      </c>
      <c r="S6" s="167" t="str">
        <f>IF(SUMMARY!C24="","",SUMMARY!I24)</f>
        <v>Chenyu Nie, 2022</v>
      </c>
      <c r="T6" s="167" t="str">
        <f>IF(SUMMARY!C25="","",SUMMARY!I25)</f>
        <v>Jinman Zhong, 2021</v>
      </c>
      <c r="U6" s="167" t="str">
        <f>IF(SUMMARY!C26="","",SUMMARY!I26)</f>
        <v>Xia Yang, 2021</v>
      </c>
      <c r="V6" s="167" t="str">
        <f>IF(SUMMARY!C27="","",SUMMARY!I27)</f>
        <v>Zhi Liu (21) X7, 2021</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34</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36</v>
      </c>
      <c r="B8" s="97" t="str">
        <f>IF(SUMMARY!$D7="","",SUMMARY!$D7)</f>
        <v>Jill M. Brooks</v>
      </c>
      <c r="C8" s="97" t="str">
        <f>IF(SUMMARY!$D8="","",SUMMARY!$D8)</f>
        <v>Edian F. Franco</v>
      </c>
      <c r="D8" s="97" t="str">
        <f>IF(SUMMARY!$D9="","",SUMMARY!$D9)</f>
        <v>Cheng-Peng Gui</v>
      </c>
      <c r="E8" s="97" t="str">
        <f>IF(SUMMARY!$D10="","",SUMMARY!$D10)</f>
        <v>Yifan Liu</v>
      </c>
      <c r="F8" s="97" t="e">
        <f>IF(SUMMARY!#REF!="","",SUMMARY!#REF!)</f>
        <v>#REF!</v>
      </c>
      <c r="G8" s="97" t="str">
        <f>IF(SUMMARY!$D12="","",SUMMARY!$D12)</f>
        <v>Jia Li</v>
      </c>
      <c r="H8" s="97" t="str">
        <f>IF(SUMMARY!$D13="","",SUMMARY!$D13)</f>
        <v>Run Shi </v>
      </c>
      <c r="I8" s="97" t="str">
        <f>IF(SUMMARY!$D14="","",SUMMARY!$D14)</f>
        <v>Jun Shao</v>
      </c>
      <c r="J8" s="97" t="str">
        <f>IF(SUMMARY!$D15="","",SUMMARY!$D15)</f>
        <v>Baohui Zhang</v>
      </c>
      <c r="K8" s="97" t="str">
        <f>IF(SUMMARY!$D16="","",SUMMARY!$D16)</f>
        <v>Qiangnu Zhang</v>
      </c>
      <c r="L8" s="97" t="str">
        <f>IF(SUMMARY!$D17="","",SUMMARY!$D17)</f>
        <v>Fanhong Zeng</v>
      </c>
      <c r="M8" s="97" t="str">
        <f>IF(SUMMARY!$D18="","",SUMMARY!$D18)</f>
        <v>Brian Lane</v>
      </c>
      <c r="N8" s="97" t="str">
        <f>IF(SUMMARY!$D19="","",SUMMARY!$D19)</f>
        <v>Ke Wang</v>
      </c>
      <c r="O8" s="97" t="str">
        <f>IF(SUMMARY!$D20="","",SUMMARY!$D20)</f>
        <v>Xiong Tian</v>
      </c>
      <c r="P8" s="97" t="str">
        <f>IF(SUMMARY!$D21="","",SUMMARY!$D21)</f>
        <v>Dongjie Chen</v>
      </c>
      <c r="Q8" s="97" t="str">
        <f>IF(SUMMARY!$D22="","",SUMMARY!$D22)</f>
        <v>Yanhong Shou</v>
      </c>
      <c r="R8" s="97" t="str">
        <f>IF(SUMMARY!$D23="","",SUMMARY!$D23)</f>
        <v>Xiangqian Zhang</v>
      </c>
      <c r="S8" s="97" t="str">
        <f>IF(SUMMARY!$D24="","",SUMMARY!$D24)</f>
        <v>Chenyu Nie</v>
      </c>
      <c r="T8" s="97" t="str">
        <f>IF(SUMMARY!$D25="","",SUMMARY!$D25)</f>
        <v>Jinman Zhong</v>
      </c>
      <c r="U8" s="97" t="str">
        <f>IF(SUMMARY!$D26="","",SUMMARY!$D26)</f>
        <v>Xia Yang</v>
      </c>
      <c r="V8" s="97" t="str">
        <f>IF(SUMMARY!$D11="","",SUMMARY!$D11)</f>
        <v>Zhi Liu (21) X7</v>
      </c>
      <c r="W8" s="97" t="str">
        <f>IF(SUMMARY!$D28="","",SUMMARY!$D28)</f>
        <v>Fernández-Hidalgo (b)</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37</v>
      </c>
      <c r="B9" s="100">
        <f>IF(SUMMARY!$E7="","",SUMMARY!$E7)</f>
        <v>2019</v>
      </c>
      <c r="C9" s="100">
        <f>IF(SUMMARY!$E8="","",SUMMARY!$E8)</f>
        <v>2013</v>
      </c>
      <c r="D9" s="100">
        <f>IF(SUMMARY!$E9="","",SUMMARY!$E9)</f>
        <v>2021</v>
      </c>
      <c r="E9" s="100">
        <f>IF(SUMMARY!$E10="","",SUMMARY!$E10)</f>
        <v>2020</v>
      </c>
      <c r="F9" s="100" t="e">
        <f>IF(SUMMARY!#REF!="","",SUMMARY!#REF!)</f>
        <v>#REF!</v>
      </c>
      <c r="G9" s="100">
        <f>IF(SUMMARY!$E12="","",SUMMARY!$E12)</f>
        <v>2022</v>
      </c>
      <c r="H9" s="100">
        <f>IF(SUMMARY!$E13="","",SUMMARY!$E13)</f>
        <v>2021</v>
      </c>
      <c r="I9" s="100">
        <f>IF(SUMMARY!$E14="","",SUMMARY!$E14)</f>
        <v>2021</v>
      </c>
      <c r="J9" s="100">
        <f>IF(SUMMARY!$E15="","",SUMMARY!$E15)</f>
        <v>2020</v>
      </c>
      <c r="K9" s="100">
        <f>IF(SUMMARY!$E16="","",SUMMARY!$E16)</f>
        <v>2021</v>
      </c>
      <c r="L9" s="100">
        <f>IF(SUMMARY!$E17="","",SUMMARY!$E17)</f>
        <v>2021</v>
      </c>
      <c r="M9" s="100">
        <f>IF(SUMMARY!$E18="","",SUMMARY!$E18)</f>
        <v>2022</v>
      </c>
      <c r="N9" s="100">
        <f>IF(SUMMARY!$E19="","",SUMMARY!$E19)</f>
        <v>2022</v>
      </c>
      <c r="O9" s="100">
        <f>IF(SUMMARY!$E20="","",SUMMARY!$E20)</f>
        <v>2022</v>
      </c>
      <c r="P9" s="100">
        <f>IF(SUMMARY!$E21="","",SUMMARY!$E21)</f>
        <v>2021</v>
      </c>
      <c r="Q9" s="100">
        <f>IF(SUMMARY!$E22="","",SUMMARY!$E22)</f>
        <v>2021</v>
      </c>
      <c r="R9" s="100">
        <f>IF(SUMMARY!$E23="","",SUMMARY!$E23)</f>
        <v>2023</v>
      </c>
      <c r="S9" s="100">
        <f>IF(SUMMARY!$E24="","",SUMMARY!$E24)</f>
        <v>2022</v>
      </c>
      <c r="T9" s="100">
        <f>IF(SUMMARY!$E25="","",SUMMARY!$E25)</f>
        <v>2021</v>
      </c>
      <c r="U9" s="100">
        <f>IF(SUMMARY!$E26="","",SUMMARY!$E26)</f>
        <v>2021</v>
      </c>
      <c r="V9" s="100">
        <f>IF(SUMMARY!$E11="","",SUMMARY!$E11)</f>
        <v>2021</v>
      </c>
      <c r="W9" s="100">
        <f>IF(SUMMARY!$E28="","",SUMMARY!$E28)</f>
        <v>2018</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38</v>
      </c>
      <c r="B10" s="187" t="str">
        <f>IF(SUMMARY!$F7="","",SUMMARY!$F7)</f>
        <v>x 3</v>
      </c>
      <c r="C10" s="187" t="str">
        <f>IF(SUMMARY!$F8="","",SUMMARY!$F8)</f>
        <v/>
      </c>
      <c r="D10" s="187" t="str">
        <f>IF(SUMMARY!$F9="","",SUMMARY!$F9)</f>
        <v>X1</v>
      </c>
      <c r="E10" s="187" t="str">
        <f>IF(SUMMARY!$F10="","",SUMMARY!$F10)</f>
        <v>x6</v>
      </c>
      <c r="F10" s="187" t="str">
        <f>IF(SUMMARY!$F11="","",SUMMARY!$F11)</f>
        <v>X7</v>
      </c>
      <c r="G10" s="187" t="str">
        <f>IF(SUMMARY!$F12="","",SUMMARY!$F12)</f>
        <v>X 4</v>
      </c>
      <c r="H10" s="187" t="str">
        <f>IF(SUMMARY!$F13="","",SUMMARY!$F13)</f>
        <v>x9</v>
      </c>
      <c r="I10" s="187" t="str">
        <f>IF(SUMMARY!$F14="","",SUMMARY!$F14)</f>
        <v>X10</v>
      </c>
      <c r="J10" s="187" t="str">
        <f>IF(SUMMARY!$F15="","",SUMMARY!$F15)</f>
        <v>X8</v>
      </c>
      <c r="K10" s="187" t="str">
        <f>IF(SUMMARY!$F16="","",SUMMARY!$F16)</f>
        <v>x11</v>
      </c>
      <c r="L10" s="187" t="str">
        <f>IF(SUMMARY!$F17="","",SUMMARY!$F17)</f>
        <v>X 2</v>
      </c>
      <c r="M10" s="187" t="str">
        <f>IF(SUMMARY!$F18="","",SUMMARY!$F18)</f>
        <v>x12</v>
      </c>
      <c r="N10" s="187" t="str">
        <f>IF(SUMMARY!$F19="","",SUMMARY!$F19)</f>
        <v>X13</v>
      </c>
      <c r="O10" s="187" t="str">
        <f>IF(SUMMARY!$F20="","",SUMMARY!$F20)</f>
        <v>x 5</v>
      </c>
      <c r="P10" s="187" t="str">
        <f>IF(SUMMARY!$F21="","",SUMMARY!$F21)</f>
        <v>X14</v>
      </c>
      <c r="Q10" s="187" t="str">
        <f>IF(SUMMARY!$F22="","",SUMMARY!$F22)</f>
        <v>X15</v>
      </c>
      <c r="R10" s="187" t="str">
        <f>IF(SUMMARY!$F23="","",SUMMARY!$F23)</f>
        <v>X16</v>
      </c>
      <c r="S10" s="187" t="str">
        <f>IF(SUMMARY!$F24="","",SUMMARY!$F24)</f>
        <v>X17</v>
      </c>
      <c r="T10" s="187" t="str">
        <f>IF(SUMMARY!$F25="","",SUMMARY!$F25)</f>
        <v>x18</v>
      </c>
      <c r="U10" s="187" t="str">
        <f>IF(SUMMARY!$F26="","",SUMMARY!$F26)</f>
        <v>X19</v>
      </c>
      <c r="V10" s="187" t="str">
        <f>IF(SUMMARY!$F27="","",SUMMARY!$F27)</f>
        <v/>
      </c>
      <c r="W10" s="187" t="str">
        <f>IF(SUMMARY!$F28="","",SUMMARY!$F28)</f>
        <v>A pragmatic approach for mortality prediction after surgery in infective endocarditis: optimizing and refining EuroSCORE</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39</v>
      </c>
      <c r="B11" s="100" t="str">
        <f>IF(SUMMARY!$G7="","",SUMMARY!$G7)</f>
        <v/>
      </c>
      <c r="C11" s="100" t="str">
        <f>IF(SUMMARY!$G8="","",SUMMARY!$G8)</f>
        <v/>
      </c>
      <c r="D11" s="100" t="str">
        <f>IF(SUMMARY!$G9="","",SUMMARY!$G9)</f>
        <v/>
      </c>
      <c r="E11" s="100" t="str">
        <f>IF(SUMMARY!$G10="","",SUMMARY!$G10)</f>
        <v/>
      </c>
      <c r="F11" s="100" t="str">
        <f>IF(SUMMARY!$G11="","",SUMMARY!$G11)</f>
        <v/>
      </c>
      <c r="G11" s="100" t="str">
        <f>IF(SUMMARY!$G12="","",SUMMARY!$G12)</f>
        <v/>
      </c>
      <c r="H11" s="100" t="str">
        <f>IF(SUMMARY!$G13="","",SUMMARY!$G13)</f>
        <v/>
      </c>
      <c r="I11" s="100" t="str">
        <f>IF(SUMMARY!$G14="","",SUMMARY!$G14)</f>
        <v/>
      </c>
      <c r="J11" s="100" t="str">
        <f>IF(SUMMARY!$G15="","",SUMMARY!$G15)</f>
        <v/>
      </c>
      <c r="K11" s="100" t="str">
        <f>IF(SUMMARY!$G16="","",SUMMARY!$G16)</f>
        <v/>
      </c>
      <c r="L11" s="100" t="str">
        <f>IF(SUMMARY!$G17="","",SUMMARY!$G17)</f>
        <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Clinical Microbiology and Infection</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40</v>
      </c>
      <c r="B12" s="102" t="str">
        <f>IF(SUMMARY!$H7="","",SUMMARY!$H7)</f>
        <v>unsupervised clustering</v>
      </c>
      <c r="C12" s="102" t="str">
        <f>IF(SUMMARY!$H8="","",SUMMARY!$H8)</f>
        <v>autoencoder</v>
      </c>
      <c r="D12" s="102" t="str">
        <f>IF(SUMMARY!$H9="","",SUMMARY!$H9)</f>
        <v>t-SNE and Lasso</v>
      </c>
      <c r="E12" s="102" t="str">
        <f>IF(SUMMARY!$H10="","",SUMMARY!$H10)</f>
        <v>t-SNE and Lasso Cox Regression</v>
      </c>
      <c r="F12" s="102" t="str">
        <f>IF(SUMMARY!$H11="","",SUMMARY!$H11)</f>
        <v xml:space="preserve">LASSO </v>
      </c>
      <c r="G12" s="102" t="str">
        <f>IF(SUMMARY!$H12="","",SUMMARY!$H12)</f>
        <v>random forest</v>
      </c>
      <c r="H12" s="102" t="str">
        <f>IF(SUMMARY!$H13="","",SUMMARY!$H13)</f>
        <v>LASSO Cox algorithm</v>
      </c>
      <c r="I12" s="102" t="str">
        <f>IF(SUMMARY!$H14="","",SUMMARY!$H14)</f>
        <v xml:space="preserve">K-mean and LASSO Cox regression </v>
      </c>
      <c r="J12" s="102" t="str">
        <f>IF(SUMMARY!$H15="","",SUMMARY!$H15)</f>
        <v>K-mean and LASSO Cox Regression</v>
      </c>
      <c r="K12" s="102" t="str">
        <f>IF(SUMMARY!$H16="","",SUMMARY!$H16)</f>
        <v xml:space="preserve">LASSO Cox regression </v>
      </c>
      <c r="L12" s="102" t="str">
        <f>IF(SUMMARY!$H17="","",SUMMARY!$H17)</f>
        <v>Kmean</v>
      </c>
      <c r="M12" s="102" t="str">
        <f>IF(SUMMARY!$H18="","",SUMMARY!$H18)</f>
        <v>K-mean</v>
      </c>
      <c r="N12" s="102" t="str">
        <f>IF(SUMMARY!$H19="","",SUMMARY!$H19)</f>
        <v>LASSO</v>
      </c>
      <c r="O12" s="102" t="str">
        <f>IF(SUMMARY!$H20="","",SUMMARY!$H20)</f>
        <v>LASSO</v>
      </c>
      <c r="P12" s="102" t="str">
        <f>IF(SUMMARY!$H21="","",SUMMARY!$H21)</f>
        <v xml:space="preserve"> LASSO Cox regression </v>
      </c>
      <c r="Q12" s="102" t="str">
        <f>IF(SUMMARY!$H22="","",SUMMARY!$H22)</f>
        <v>LASSO</v>
      </c>
      <c r="R12" s="102" t="str">
        <f>IF(SUMMARY!$H23="","",SUMMARY!$H23)</f>
        <v xml:space="preserve">LASSO Cox regression </v>
      </c>
      <c r="S12" s="102" t="str">
        <f>IF(SUMMARY!$H24="","",SUMMARY!$H24)</f>
        <v>LASSO</v>
      </c>
      <c r="T12" s="102" t="str">
        <f>IF(SUMMARY!$H25="","",SUMMARY!$H25)</f>
        <v>LASSO</v>
      </c>
      <c r="U12" s="102" t="str">
        <f>IF(SUMMARY!$H26="","",SUMMARY!$H26)</f>
        <v>LASSO</v>
      </c>
      <c r="V12" s="102" t="str">
        <f>IF(SUMMARY!$H27="","",SUMMARY!$H27)</f>
        <v/>
      </c>
      <c r="W12" s="102" t="str">
        <f>IF(SUMMARY!$H28="","",SUMMARY!$H28)</f>
        <v>Specific EuroSCORE-II</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261</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262</v>
      </c>
      <c r="B14" s="27" t="s">
        <v>136</v>
      </c>
      <c r="C14" s="27" t="s">
        <v>263</v>
      </c>
      <c r="D14" s="27" t="s">
        <v>263</v>
      </c>
      <c r="E14" s="27" t="s">
        <v>263</v>
      </c>
      <c r="F14" s="27" t="s">
        <v>263</v>
      </c>
      <c r="G14" s="27" t="s">
        <v>263</v>
      </c>
      <c r="H14" s="27" t="s">
        <v>263</v>
      </c>
      <c r="I14" s="27" t="s">
        <v>263</v>
      </c>
      <c r="J14" s="27" t="s">
        <v>263</v>
      </c>
      <c r="K14" s="27" t="s">
        <v>263</v>
      </c>
      <c r="L14" s="27" t="s">
        <v>263</v>
      </c>
      <c r="M14" s="27" t="s">
        <v>136</v>
      </c>
      <c r="N14" s="27" t="s">
        <v>136</v>
      </c>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264</v>
      </c>
      <c r="B15" s="28" t="s">
        <v>263</v>
      </c>
      <c r="C15" s="28" t="s">
        <v>263</v>
      </c>
      <c r="D15" s="28" t="s">
        <v>263</v>
      </c>
      <c r="E15" s="28" t="s">
        <v>266</v>
      </c>
      <c r="F15" s="28" t="s">
        <v>263</v>
      </c>
      <c r="G15" s="28" t="s">
        <v>263</v>
      </c>
      <c r="H15" s="28" t="s">
        <v>266</v>
      </c>
      <c r="I15" s="28" t="s">
        <v>263</v>
      </c>
      <c r="J15" s="28" t="s">
        <v>263</v>
      </c>
      <c r="K15" s="28" t="s">
        <v>263</v>
      </c>
      <c r="L15" s="28" t="s">
        <v>263</v>
      </c>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267</v>
      </c>
      <c r="B16" s="33" t="s">
        <v>269</v>
      </c>
      <c r="C16" s="33" t="s">
        <v>269</v>
      </c>
      <c r="D16" s="33" t="s">
        <v>268</v>
      </c>
      <c r="E16" s="33" t="s">
        <v>269</v>
      </c>
      <c r="F16" s="33" t="s">
        <v>269</v>
      </c>
      <c r="G16" s="33" t="s">
        <v>269</v>
      </c>
      <c r="H16" s="33" t="s">
        <v>269</v>
      </c>
      <c r="I16" s="33" t="s">
        <v>268</v>
      </c>
      <c r="J16" s="33" t="s">
        <v>268</v>
      </c>
      <c r="K16" s="33" t="s">
        <v>269</v>
      </c>
      <c r="L16" s="33" t="s">
        <v>269</v>
      </c>
      <c r="M16" s="33" t="s">
        <v>268</v>
      </c>
      <c r="N16" s="33" t="s">
        <v>269</v>
      </c>
      <c r="O16" s="33" t="s">
        <v>269</v>
      </c>
      <c r="P16" s="33" t="s">
        <v>269</v>
      </c>
      <c r="Q16" s="33" t="s">
        <v>269</v>
      </c>
      <c r="R16" s="33" t="s">
        <v>268</v>
      </c>
      <c r="S16" s="33" t="s">
        <v>269</v>
      </c>
      <c r="T16" s="33" t="s">
        <v>268</v>
      </c>
      <c r="U16" s="33" t="s">
        <v>269</v>
      </c>
      <c r="V16" s="33"/>
      <c r="W16" s="33"/>
      <c r="X16" s="33"/>
      <c r="Y16" s="33"/>
      <c r="Z16" s="33"/>
      <c r="AA16" s="33"/>
      <c r="AB16" s="33"/>
      <c r="AC16" s="33"/>
      <c r="AD16" s="33"/>
      <c r="AE16" s="33"/>
    </row>
    <row r="17" spans="1:31" s="83" customFormat="1" ht="18.75" customHeight="1" x14ac:dyDescent="0.25">
      <c r="A17" s="107" t="s">
        <v>270</v>
      </c>
      <c r="B17" s="34" t="s">
        <v>271</v>
      </c>
      <c r="C17" s="34" t="s">
        <v>271</v>
      </c>
      <c r="D17" s="34" t="s">
        <v>271</v>
      </c>
      <c r="E17" s="34" t="s">
        <v>271</v>
      </c>
      <c r="F17" s="34" t="s">
        <v>271</v>
      </c>
      <c r="G17" s="34" t="s">
        <v>271</v>
      </c>
      <c r="H17" s="34" t="s">
        <v>272</v>
      </c>
      <c r="I17" s="34" t="s">
        <v>271</v>
      </c>
      <c r="J17" s="34" t="s">
        <v>271</v>
      </c>
      <c r="K17" s="34" t="s">
        <v>271</v>
      </c>
      <c r="L17" s="34" t="s">
        <v>271</v>
      </c>
      <c r="M17" s="34" t="s">
        <v>271</v>
      </c>
      <c r="N17" s="34" t="s">
        <v>271</v>
      </c>
      <c r="O17" s="34" t="s">
        <v>271</v>
      </c>
      <c r="P17" s="34" t="s">
        <v>271</v>
      </c>
      <c r="Q17" s="34" t="s">
        <v>271</v>
      </c>
      <c r="R17" s="34" t="s">
        <v>271</v>
      </c>
      <c r="S17" s="34" t="s">
        <v>272</v>
      </c>
      <c r="T17" s="34" t="s">
        <v>271</v>
      </c>
      <c r="U17" s="34" t="s">
        <v>271</v>
      </c>
      <c r="V17" s="34"/>
      <c r="W17" s="34"/>
      <c r="X17" s="34"/>
      <c r="Y17" s="34"/>
      <c r="Z17" s="34"/>
      <c r="AA17" s="34"/>
      <c r="AB17" s="34"/>
      <c r="AC17" s="34"/>
      <c r="AD17" s="34"/>
      <c r="AE17" s="34"/>
    </row>
    <row r="18" spans="1:31" s="83" customFormat="1" ht="15" customHeight="1" x14ac:dyDescent="0.25">
      <c r="A18" s="108" t="s">
        <v>273</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274</v>
      </c>
      <c r="B19" s="111" t="str">
        <f>IF(HLOOKUP(B$6,CHARMS!$A$6:$CQ$92,9,)&lt;&gt;0,HLOOKUP(B$6,CHARMS!$A$6:$CQ$92,9,),"")</f>
        <v>Existing registry</v>
      </c>
      <c r="C19" s="111" t="str">
        <f>IF(HLOOKUP(C$6,CHARMS!$A$6:$CQ$92,9,)&lt;&gt;0,HLOOKUP(C$6,CHARMS!$A$6:$CQ$92,9,),"")</f>
        <v>Retrospective cohort</v>
      </c>
      <c r="D19" s="111" t="str">
        <f>IF(HLOOKUP(D$6,CHARMS!$A$6:$CQ$92,9,)&lt;&gt;0,HLOOKUP(D$6,CHARMS!$A$6:$CQ$92,9,),"")</f>
        <v>Existing registry</v>
      </c>
      <c r="E19" s="111" t="str">
        <f>IF(HLOOKUP(E$6,CHARMS!$A$6:$CQ$92,9,)&lt;&gt;0,HLOOKUP(E$6,CHARMS!$A$6:$CQ$92,9,),"")</f>
        <v>Retrospective cohort</v>
      </c>
      <c r="F19" s="111" t="e">
        <f>IF(HLOOKUP(F$6,CHARMS!$A$6:$CQ$92,9,)&lt;&gt;0,HLOOKUP(F$6,CHARMS!$A$6:$CQ$92,9,),"")</f>
        <v>#REF!</v>
      </c>
      <c r="G19" s="111" t="str">
        <f>IF(HLOOKUP(G$6,CHARMS!$A$6:$CQ$92,9,)&lt;&gt;0,HLOOKUP(G$6,CHARMS!$A$6:$CQ$92,9,),"")</f>
        <v>Other (specify)</v>
      </c>
      <c r="H19" s="111" t="str">
        <f>IF(HLOOKUP(H$6,CHARMS!$A$6:$CQ$92,9,)&lt;&gt;0,HLOOKUP(H$6,CHARMS!$A$6:$CQ$92,9,),"")</f>
        <v>Retrospective cohort</v>
      </c>
      <c r="I19" s="111" t="str">
        <f>IF(HLOOKUP(I$6,CHARMS!$A$6:$CQ$92,9,)&lt;&gt;0,HLOOKUP(I$6,CHARMS!$A$6:$CQ$92,9,),"")</f>
        <v>Retrospective cohort</v>
      </c>
      <c r="J19" s="111" t="str">
        <f>IF(HLOOKUP(J$6,CHARMS!$A$6:$CQ$92,9,)&lt;&gt;0,HLOOKUP(J$6,CHARMS!$A$6:$CQ$92,9,),"")</f>
        <v>Retrospective cohort</v>
      </c>
      <c r="K19" s="111" t="str">
        <f>IF(HLOOKUP(K$6,CHARMS!$A$6:$CQ$92,9,)&lt;&gt;0,HLOOKUP(K$6,CHARMS!$A$6:$CQ$92,9,),"")</f>
        <v>Retrospective cohort</v>
      </c>
      <c r="L19" s="111" t="str">
        <f>IF(HLOOKUP(L$6,CHARMS!$A$6:$CQ$92,9,)&lt;&gt;0,HLOOKUP(L$6,CHARMS!$A$6:$CQ$92,9,),"")</f>
        <v>Retrospective cohort</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275</v>
      </c>
      <c r="B20" s="111" t="str">
        <f>IF(HLOOKUP(B$6,CHARMS!$A$6:$CQ$92,11,)&lt;&gt;0,HLOOKUP(B$6,CHARMS!$A$6:$CQ$92,11,),"")</f>
        <v>Selective inclusion</v>
      </c>
      <c r="C20" s="111" t="str">
        <f>IF(HLOOKUP(C$6,CHARMS!$A$6:$CQ$92,11,)&lt;&gt;0,HLOOKUP(C$6,CHARMS!$A$6:$CQ$92,11,),"")</f>
        <v>Prospective recruitment</v>
      </c>
      <c r="D20" s="111" t="str">
        <f>IF(HLOOKUP(D$6,CHARMS!$A$6:$CQ$92,11,)&lt;&gt;0,HLOOKUP(D$6,CHARMS!$A$6:$CQ$92,11,),"")</f>
        <v>Consecutive patients</v>
      </c>
      <c r="E20" s="111" t="str">
        <f>IF(HLOOKUP(E$6,CHARMS!$A$6:$CQ$92,11,)&lt;&gt;0,HLOOKUP(E$6,CHARMS!$A$6:$CQ$92,11,),"")</f>
        <v>No information</v>
      </c>
      <c r="F20" s="111" t="e">
        <f>IF(HLOOKUP(F$6,CHARMS!$A$6:$CQ$92,11,)&lt;&gt;0,HLOOKUP(F$6,CHARMS!$A$6:$CQ$92,11,),"")</f>
        <v>#REF!</v>
      </c>
      <c r="G20" s="111" t="str">
        <f>IF(HLOOKUP(G$6,CHARMS!$A$6:$CQ$92,11,)&lt;&gt;0,HLOOKUP(G$6,CHARMS!$A$6:$CQ$92,11,),"")</f>
        <v>Consecutive patients</v>
      </c>
      <c r="H20" s="111" t="str">
        <f>IF(HLOOKUP(H$6,CHARMS!$A$6:$CQ$92,11,)&lt;&gt;0,HLOOKUP(H$6,CHARMS!$A$6:$CQ$92,11,),"")</f>
        <v>No information</v>
      </c>
      <c r="I20" s="111" t="str">
        <f>IF(HLOOKUP(I$6,CHARMS!$A$6:$CQ$92,11,)&lt;&gt;0,HLOOKUP(I$6,CHARMS!$A$6:$CQ$92,11,),"")</f>
        <v>Consecutive patients</v>
      </c>
      <c r="J20" s="111" t="str">
        <f>IF(HLOOKUP(J$6,CHARMS!$A$6:$CQ$92,11,)&lt;&gt;0,HLOOKUP(J$6,CHARMS!$A$6:$CQ$92,11,),"")</f>
        <v>Consecutive patients prospectively recruited on an ongoing database</v>
      </c>
      <c r="K20" s="111" t="str">
        <f>IF(HLOOKUP(K$6,CHARMS!$A$6:$CQ$92,11,)&lt;&gt;0,HLOOKUP(K$6,CHARMS!$A$6:$CQ$92,11,),"")</f>
        <v>Consecutive patients</v>
      </c>
      <c r="L20" s="111" t="str">
        <f>IF(HLOOKUP(L$6,CHARMS!$A$6:$CQ$92,11,)&lt;&gt;0,HLOOKUP(L$6,CHARMS!$A$6:$CQ$92,11,),"")</f>
        <v>Consecutive patients</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276</v>
      </c>
      <c r="B21" s="111" t="str">
        <f>IF(HLOOKUP(B$6,CHARMS!$A$6:$CQ$92,12,)&lt;&gt;0,HLOOKUP(B$6,CHARMS!$A$6:$CQ$92,12,),"")</f>
        <v>2002 - 2008</v>
      </c>
      <c r="C21" s="111" t="str">
        <f>IF(HLOOKUP(C$6,CHARMS!$A$6:$CQ$92,12,)&lt;&gt;0,HLOOKUP(C$6,CHARMS!$A$6:$CQ$92,12,),"")</f>
        <v>1980 - 2009</v>
      </c>
      <c r="D21" s="111" t="str">
        <f>IF(HLOOKUP(D$6,CHARMS!$A$6:$CQ$92,12,)&lt;&gt;0,HLOOKUP(D$6,CHARMS!$A$6:$CQ$92,12,),"")</f>
        <v>2008 - 2010</v>
      </c>
      <c r="E21" s="111" t="str">
        <f>IF(HLOOKUP(E$6,CHARMS!$A$6:$CQ$92,12,)&lt;&gt;0,HLOOKUP(E$6,CHARMS!$A$6:$CQ$92,12,),"")</f>
        <v>2007 - 2014</v>
      </c>
      <c r="F21" s="111" t="e">
        <f>IF(HLOOKUP(F$6,CHARMS!$A$6:$CQ$92,12,)&lt;&gt;0,HLOOKUP(F$6,CHARMS!$A$6:$CQ$92,12,),"")</f>
        <v>#REF!</v>
      </c>
      <c r="G21" s="111" t="str">
        <f>IF(HLOOKUP(G$6,CHARMS!$A$6:$CQ$92,12,)&lt;&gt;0,HLOOKUP(G$6,CHARMS!$A$6:$CQ$92,12,),"")</f>
        <v>2000 - 2015 (Italy) 2008 (France)</v>
      </c>
      <c r="H21" s="111" t="str">
        <f>IF(HLOOKUP(H$6,CHARMS!$A$6:$CQ$92,12,)&lt;&gt;0,HLOOKUP(H$6,CHARMS!$A$6:$CQ$92,12,),"")</f>
        <v>2000 - 2015</v>
      </c>
      <c r="I21" s="111" t="str">
        <f>IF(HLOOKUP(I$6,CHARMS!$A$6:$CQ$92,12,)&lt;&gt;0,HLOOKUP(I$6,CHARMS!$A$6:$CQ$92,12,),"")</f>
        <v>1999 - 2015</v>
      </c>
      <c r="J21" s="111" t="str">
        <f>IF(HLOOKUP(J$6,CHARMS!$A$6:$CQ$92,12,)&lt;&gt;0,HLOOKUP(J$6,CHARMS!$A$6:$CQ$92,12,),"")</f>
        <v>1996 - 2014</v>
      </c>
      <c r="K21" s="111" t="str">
        <f>IF(HLOOKUP(K$6,CHARMS!$A$6:$CQ$92,12,)&lt;&gt;0,HLOOKUP(K$6,CHARMS!$A$6:$CQ$92,12,),"")</f>
        <v>2000 - 2011</v>
      </c>
      <c r="L21" s="111" t="str">
        <f>IF(HLOOKUP(L$6,CHARMS!$A$6:$CQ$92,12,)&lt;&gt;0,HLOOKUP(L$6,CHARMS!$A$6:$CQ$92,12,),"")</f>
        <v>2000 - 2011</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277</v>
      </c>
      <c r="B22" s="111" t="str">
        <f>IF(HLOOKUP(B$6,CHARMS!$A$6:$CQ$92,13,)&lt;&gt;0,HLOOKUP(B$6,CHARMS!$A$6:$CQ$92,13,),"")</f>
        <v>Cardiac surgery centers</v>
      </c>
      <c r="C22" s="111" t="str">
        <f>IF(HLOOKUP(C$6,CHARMS!$A$6:$CQ$92,13,)&lt;&gt;0,HLOOKUP(C$6,CHARMS!$A$6:$CQ$92,13,),"")</f>
        <v>Cardiac surgery center</v>
      </c>
      <c r="D22" s="111" t="str">
        <f>IF(HLOOKUP(D$6,CHARMS!$A$6:$CQ$92,13,)&lt;&gt;0,HLOOKUP(D$6,CHARMS!$A$6:$CQ$92,13,),"")</f>
        <v>Cardiac surgery centers</v>
      </c>
      <c r="E22" s="111" t="str">
        <f>IF(HLOOKUP(E$6,CHARMS!$A$6:$CQ$92,13,)&lt;&gt;0,HLOOKUP(E$6,CHARMS!$A$6:$CQ$92,13,),"")</f>
        <v>Cardiac surgery center</v>
      </c>
      <c r="F22" s="111" t="e">
        <f>IF(HLOOKUP(F$6,CHARMS!$A$6:$CQ$92,13,)&lt;&gt;0,HLOOKUP(F$6,CHARMS!$A$6:$CQ$92,13,),"")</f>
        <v>#REF!</v>
      </c>
      <c r="G22" s="111" t="str">
        <f>IF(HLOOKUP(G$6,CHARMS!$A$6:$CQ$92,13,)&lt;&gt;0,HLOOKUP(G$6,CHARMS!$A$6:$CQ$92,13,),"")</f>
        <v>Cardiac surgery centers</v>
      </c>
      <c r="H22" s="111" t="str">
        <f>IF(HLOOKUP(H$6,CHARMS!$A$6:$CQ$92,13,)&lt;&gt;0,HLOOKUP(H$6,CHARMS!$A$6:$CQ$92,13,),"")</f>
        <v>Cardiac surgery centers</v>
      </c>
      <c r="I22" s="111" t="str">
        <f>IF(HLOOKUP(I$6,CHARMS!$A$6:$CQ$92,13,)&lt;&gt;0,HLOOKUP(I$6,CHARMS!$A$6:$CQ$92,13,),"")</f>
        <v>Cardiac surgery center</v>
      </c>
      <c r="J22" s="111" t="str">
        <f>IF(HLOOKUP(J$6,CHARMS!$A$6:$CQ$92,13,)&lt;&gt;0,HLOOKUP(J$6,CHARMS!$A$6:$CQ$92,13,),"")</f>
        <v>Cardiac surgery centers</v>
      </c>
      <c r="K22" s="111" t="str">
        <f>IF(HLOOKUP(K$6,CHARMS!$A$6:$CQ$92,13,)&lt;&gt;0,HLOOKUP(K$6,CHARMS!$A$6:$CQ$92,13,),"")</f>
        <v>Cardiac surgery centers</v>
      </c>
      <c r="L22" s="111" t="str">
        <f>IF(HLOOKUP(L$6,CHARMS!$A$6:$CQ$92,13,)&lt;&gt;0,HLOOKUP(L$6,CHARMS!$A$6:$CQ$92,13,),"")</f>
        <v>Cardiac surgery centers</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278</v>
      </c>
      <c r="B23" s="111" t="str">
        <f>IF(HLOOKUP(B$6,CHARMS!$A$6:$CQ$92,16,)&lt;&gt;0,HLOOKUP(B$6,CHARMS!$A$6:$CQ$92,16,),"")</f>
        <v>All patients with the diagnosis of IE who underwent surgery on the aortic, mitral, and/or tricuspid valves.</v>
      </c>
      <c r="C23" s="111" t="str">
        <f>IF(HLOOKUP(C$6,CHARMS!$A$6:$CQ$92,16,)&lt;&gt;0,HLOOKUP(C$6,CHARMS!$A$6:$CQ$92,16,),"")</f>
        <v>Infective Endocarditis of native valves</v>
      </c>
      <c r="D23" s="111" t="str">
        <f>IF(HLOOKUP(D$6,CHARMS!$A$6:$CQ$92,16,)&lt;&gt;0,HLOOKUP(D$6,CHARMS!$A$6:$CQ$92,16,),"")</f>
        <v>Patients with definite or possible IE who underwent surgery.</v>
      </c>
      <c r="E23" s="111" t="str">
        <f>IF(HLOOKUP(E$6,CHARMS!$A$6:$CQ$92,16,)&lt;&gt;0,HLOOKUP(E$6,CHARMS!$A$6:$CQ$92,16,),"")</f>
        <v>Patients underwent cardiac surgery under extracorporeal circulation for active IE (according to modified Duke criteria).</v>
      </c>
      <c r="F23" s="111" t="e">
        <f>IF(HLOOKUP(F$6,CHARMS!$A$6:$CQ$92,16,)&lt;&gt;0,HLOOKUP(F$6,CHARMS!$A$6:$CQ$92,16,),"")</f>
        <v>#REF!</v>
      </c>
      <c r="G23" s="111" t="str">
        <f>IF(HLOOKUP(G$6,CHARMS!$A$6:$CQ$92,16,)&lt;&gt;0,HLOOKUP(G$6,CHARMS!$A$6:$CQ$92,16,),"")</f>
        <v>Patients who underwent surgery for IE defined by the modified Duke criteria</v>
      </c>
      <c r="H23" s="111" t="str">
        <f>IF(HLOOKUP(H$6,CHARMS!$A$6:$CQ$92,16,)&lt;&gt;0,HLOOKUP(H$6,CHARMS!$A$6:$CQ$92,16,),"")</f>
        <v>Patients with native valve endocarditis (NVE) or prosthesis valve endocarditis (PVE) operated.</v>
      </c>
      <c r="I23" s="111" t="str">
        <f>IF(HLOOKUP(I$6,CHARMS!$A$6:$CQ$92,16,)&lt;&gt;0,HLOOKUP(I$6,CHARMS!$A$6:$CQ$92,16,),"")</f>
        <v>Patients who underwent surgery for IE defined by the modified Duke criteria.</v>
      </c>
      <c r="J23" s="111" t="str">
        <f>IF(HLOOKUP(J$6,CHARMS!$A$6:$CQ$92,16,)&lt;&gt;0,HLOOKUP(J$6,CHARMS!$A$6:$CQ$92,16,),"")</f>
        <v>Patients with definite, left-sided IE in the active phase of the disease who underwent surgery.</v>
      </c>
      <c r="K23" s="111" t="str">
        <f>IF(HLOOKUP(K$6,CHARMS!$A$6:$CQ$92,16,)&lt;&gt;0,HLOOKUP(K$6,CHARMS!$A$6:$CQ$92,16,),"")</f>
        <v>Patients who requiring cardiac surgery during the active phase of infection (while on antimicrobial therapy).</v>
      </c>
      <c r="L23" s="111" t="str">
        <f>IF(HLOOKUP(L$6,CHARMS!$A$6:$CQ$92,16,)&lt;&gt;0,HLOOKUP(L$6,CHARMS!$A$6:$CQ$92,16,),"")</f>
        <v>Patients who requiring cardiac surgery during the active phase of infection (while on antimicrobial therapy).</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279</v>
      </c>
      <c r="B24" s="113" t="str">
        <f>IF(HLOOKUP(B$6,CHARMS!$A$6:$CQ$92,17,)&lt;&gt;0,HLOOKUP(B$6,CHARMS!$A$6:$CQ$92,17,),"")</f>
        <v>Sites were excluded if data were missing on age, gender, status of surgery, cardiogenic shock , and endocarditis type. And if more than 20% of patients had no complication information reported.</v>
      </c>
      <c r="C24" s="113" t="str">
        <f>IF(HLOOKUP(C$6,CHARMS!$A$6:$CQ$92,17,)&lt;&gt;0,HLOOKUP(C$6,CHARMS!$A$6:$CQ$92,17,),"")</f>
        <v>Infective Endocarditis of prosthetic valves</v>
      </c>
      <c r="D24" s="113" t="str">
        <f>IF(HLOOKUP(D$6,CHARMS!$A$6:$CQ$92,17,)&lt;&gt;0,HLOOKUP(D$6,CHARMS!$A$6:$CQ$92,17,),"")</f>
        <v>No information</v>
      </c>
      <c r="E24" s="113" t="str">
        <f>IF(HLOOKUP(E$6,CHARMS!$A$6:$CQ$92,17,)&lt;&gt;0,HLOOKUP(E$6,CHARMS!$A$6:$CQ$92,17,),"")</f>
        <v>No information</v>
      </c>
      <c r="F24" s="113" t="e">
        <f>IF(HLOOKUP(F$6,CHARMS!$A$6:$CQ$92,17,)&lt;&gt;0,HLOOKUP(F$6,CHARMS!$A$6:$CQ$92,17,),"")</f>
        <v>#REF!</v>
      </c>
      <c r="G24" s="113" t="str">
        <f>IF(HLOOKUP(G$6,CHARMS!$A$6:$CQ$92,17,)&lt;&gt;0,HLOOKUP(G$6,CHARMS!$A$6:$CQ$92,17,),"")</f>
        <v>No information</v>
      </c>
      <c r="H24" s="113" t="str">
        <f>IF(HLOOKUP(H$6,CHARMS!$A$6:$CQ$92,17,)&lt;&gt;0,HLOOKUP(H$6,CHARMS!$A$6:$CQ$92,17,),"")</f>
        <v>No information</v>
      </c>
      <c r="I24" s="113" t="str">
        <f>IF(HLOOKUP(I$6,CHARMS!$A$6:$CQ$92,17,)&lt;&gt;0,HLOOKUP(I$6,CHARMS!$A$6:$CQ$92,17,),"")</f>
        <v>No information</v>
      </c>
      <c r="J24" s="113" t="str">
        <f>IF(HLOOKUP(J$6,CHARMS!$A$6:$CQ$92,17,)&lt;&gt;0,HLOOKUP(J$6,CHARMS!$A$6:$CQ$92,17,),"")</f>
        <v>Patients with right-sided IE, left-sided IE without surgical indications and those with a surgical indication that were not surgical candidates.</v>
      </c>
      <c r="K24" s="113" t="str">
        <f>IF(HLOOKUP(K$6,CHARMS!$A$6:$CQ$92,17,)&lt;&gt;0,HLOOKUP(K$6,CHARMS!$A$6:$CQ$92,17,),"")</f>
        <v>IE cases exclusively involving pacemaker leads were not considered. Only the first episode of IE recorded for an individual patient was used.</v>
      </c>
      <c r="L24" s="113" t="str">
        <f>IF(HLOOKUP(L$6,CHARMS!$A$6:$CQ$92,17,)&lt;&gt;0,HLOOKUP(L$6,CHARMS!$A$6:$CQ$92,17,),"")</f>
        <v>IE cases exclusively involving pacemaker leads were not considered. Only the first episode of IE recorded for an individual patient was used.</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280</v>
      </c>
      <c r="B25" s="29" t="s">
        <v>281</v>
      </c>
      <c r="C25" s="29" t="s">
        <v>282</v>
      </c>
      <c r="D25" s="29"/>
      <c r="E25" s="29" t="s">
        <v>283</v>
      </c>
      <c r="F25" s="29" t="s">
        <v>284</v>
      </c>
      <c r="G25" s="29" t="s">
        <v>284</v>
      </c>
      <c r="H25" s="29" t="s">
        <v>283</v>
      </c>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285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286</v>
      </c>
      <c r="B27" s="27" t="s">
        <v>136</v>
      </c>
      <c r="C27" s="27" t="s">
        <v>136</v>
      </c>
      <c r="D27" s="27" t="s">
        <v>136</v>
      </c>
      <c r="E27" s="27" t="s">
        <v>136</v>
      </c>
      <c r="F27" s="27" t="s">
        <v>263</v>
      </c>
      <c r="G27" s="27" t="s">
        <v>263</v>
      </c>
      <c r="H27" s="27" t="s">
        <v>136</v>
      </c>
      <c r="I27" s="27" t="s">
        <v>136</v>
      </c>
      <c r="J27" s="27" t="s">
        <v>136</v>
      </c>
      <c r="K27" s="27" t="s">
        <v>141</v>
      </c>
      <c r="L27" s="27" t="s">
        <v>141</v>
      </c>
      <c r="M27" s="27" t="s">
        <v>136</v>
      </c>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287</v>
      </c>
      <c r="B28" s="30" t="s">
        <v>136</v>
      </c>
      <c r="C28" s="30" t="s">
        <v>266</v>
      </c>
      <c r="D28" s="30" t="s">
        <v>266</v>
      </c>
      <c r="E28" s="30" t="s">
        <v>266</v>
      </c>
      <c r="F28" s="30" t="s">
        <v>266</v>
      </c>
      <c r="G28" s="30" t="s">
        <v>266</v>
      </c>
      <c r="H28" s="30" t="s">
        <v>266</v>
      </c>
      <c r="I28" s="30" t="s">
        <v>266</v>
      </c>
      <c r="J28" s="30" t="s">
        <v>266</v>
      </c>
      <c r="K28" s="30" t="s">
        <v>266</v>
      </c>
      <c r="L28" s="30" t="s">
        <v>266</v>
      </c>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288</v>
      </c>
      <c r="B29" s="28" t="s">
        <v>141</v>
      </c>
      <c r="C29" s="28" t="s">
        <v>136</v>
      </c>
      <c r="D29" s="28" t="s">
        <v>136</v>
      </c>
      <c r="E29" s="28" t="s">
        <v>136</v>
      </c>
      <c r="F29" s="28" t="s">
        <v>265</v>
      </c>
      <c r="G29" s="28" t="s">
        <v>136</v>
      </c>
      <c r="H29" s="28" t="s">
        <v>136</v>
      </c>
      <c r="I29" s="28" t="s">
        <v>136</v>
      </c>
      <c r="J29" s="28" t="s">
        <v>136</v>
      </c>
      <c r="K29" s="28" t="s">
        <v>136</v>
      </c>
      <c r="L29" s="28" t="s">
        <v>136</v>
      </c>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289</v>
      </c>
      <c r="B30" s="33" t="s">
        <v>269</v>
      </c>
      <c r="C30" s="33" t="s">
        <v>269</v>
      </c>
      <c r="D30" s="33" t="s">
        <v>269</v>
      </c>
      <c r="E30" s="33" t="s">
        <v>269</v>
      </c>
      <c r="F30" s="33" t="s">
        <v>269</v>
      </c>
      <c r="G30" s="33" t="s">
        <v>269</v>
      </c>
      <c r="H30" s="33" t="s">
        <v>269</v>
      </c>
      <c r="I30" s="33" t="s">
        <v>269</v>
      </c>
      <c r="J30" s="33" t="s">
        <v>269</v>
      </c>
      <c r="K30" s="33" t="s">
        <v>269</v>
      </c>
      <c r="L30" s="33" t="s">
        <v>269</v>
      </c>
      <c r="M30" s="33" t="s">
        <v>268</v>
      </c>
      <c r="N30" s="33" t="s">
        <v>74</v>
      </c>
      <c r="O30" s="33" t="s">
        <v>269</v>
      </c>
      <c r="P30" s="33" t="s">
        <v>269</v>
      </c>
      <c r="Q30" s="33" t="s">
        <v>269</v>
      </c>
      <c r="R30" s="33" t="s">
        <v>269</v>
      </c>
      <c r="S30" s="33" t="s">
        <v>269</v>
      </c>
      <c r="T30" s="33" t="s">
        <v>269</v>
      </c>
      <c r="U30" s="33" t="s">
        <v>268</v>
      </c>
      <c r="V30" s="33"/>
      <c r="W30" s="33"/>
      <c r="X30" s="33"/>
      <c r="Y30" s="33"/>
      <c r="Z30" s="33"/>
      <c r="AA30" s="33"/>
      <c r="AB30" s="33"/>
      <c r="AC30" s="33"/>
      <c r="AD30" s="33"/>
      <c r="AE30" s="33"/>
    </row>
    <row r="31" spans="1:31" s="83" customFormat="1" ht="18.75" customHeight="1" x14ac:dyDescent="0.25">
      <c r="A31" s="107" t="s">
        <v>270</v>
      </c>
      <c r="B31" s="34" t="s">
        <v>271</v>
      </c>
      <c r="C31" s="34" t="s">
        <v>271</v>
      </c>
      <c r="D31" s="34" t="s">
        <v>271</v>
      </c>
      <c r="E31" s="34" t="s">
        <v>271</v>
      </c>
      <c r="F31" s="34" t="s">
        <v>271</v>
      </c>
      <c r="G31" s="34" t="s">
        <v>271</v>
      </c>
      <c r="H31" s="34" t="s">
        <v>271</v>
      </c>
      <c r="I31" s="34" t="s">
        <v>271</v>
      </c>
      <c r="J31" s="34" t="s">
        <v>271</v>
      </c>
      <c r="K31" s="34" t="s">
        <v>74</v>
      </c>
      <c r="L31" s="34" t="s">
        <v>271</v>
      </c>
      <c r="M31" s="34" t="s">
        <v>271</v>
      </c>
      <c r="N31" s="34" t="s">
        <v>271</v>
      </c>
      <c r="O31" s="34" t="s">
        <v>272</v>
      </c>
      <c r="P31" s="34" t="s">
        <v>271</v>
      </c>
      <c r="Q31" s="34" t="s">
        <v>271</v>
      </c>
      <c r="R31" s="34" t="s">
        <v>271</v>
      </c>
      <c r="S31" s="34" t="s">
        <v>271</v>
      </c>
      <c r="T31" s="34" t="s">
        <v>271</v>
      </c>
      <c r="U31" s="34" t="s">
        <v>271</v>
      </c>
      <c r="V31" s="34"/>
      <c r="W31" s="34"/>
      <c r="X31" s="34"/>
      <c r="Y31" s="34"/>
      <c r="Z31" s="34"/>
      <c r="AA31" s="34"/>
      <c r="AB31" s="34"/>
      <c r="AC31" s="34"/>
      <c r="AD31" s="34"/>
      <c r="AE31" s="34"/>
    </row>
    <row r="32" spans="1:31" s="83" customFormat="1" ht="15" customHeight="1" x14ac:dyDescent="0.25">
      <c r="A32" s="108" t="s">
        <v>273</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290</v>
      </c>
      <c r="B33" s="111" t="str">
        <f>IF(HLOOKUP(B$6,CHARMS!$A$6:$CQ$92,36,)&lt;&gt;0,HLOOKUP(B$6,CHARMS!$A$6:$CQ$92,36,),"")</f>
        <v>Yes</v>
      </c>
      <c r="C33" s="111" t="str">
        <f>IF(HLOOKUP(C$6,CHARMS!$A$6:$CQ$92,36,)&lt;&gt;0,HLOOKUP(C$6,CHARMS!$A$6:$CQ$92,36,),"")</f>
        <v>Yes</v>
      </c>
      <c r="D33" s="111" t="str">
        <f>IF(HLOOKUP(D$6,CHARMS!$A$6:$CQ$92,36,)&lt;&gt;0,HLOOKUP(D$6,CHARMS!$A$6:$CQ$92,36,),"")</f>
        <v>Yes</v>
      </c>
      <c r="E33" s="111" t="str">
        <f>IF(HLOOKUP(E$6,CHARMS!$A$6:$CQ$92,36,)&lt;&gt;0,HLOOKUP(E$6,CHARMS!$A$6:$CQ$92,36,),"")</f>
        <v>Yes</v>
      </c>
      <c r="F33" s="111" t="e">
        <f>IF(HLOOKUP(F$6,CHARMS!$A$6:$CQ$92,36,)&lt;&gt;0,HLOOKUP(F$6,CHARMS!$A$6:$CQ$92,36,),"")</f>
        <v>#REF!</v>
      </c>
      <c r="G33" s="111" t="str">
        <f>IF(HLOOKUP(G$6,CHARMS!$A$6:$CQ$92,36,)&lt;&gt;0,HLOOKUP(G$6,CHARMS!$A$6:$CQ$92,36,),"")</f>
        <v>Unclear</v>
      </c>
      <c r="H33" s="111" t="str">
        <f>IF(HLOOKUP(H$6,CHARMS!$A$6:$CQ$92,36,)&lt;&gt;0,HLOOKUP(H$6,CHARMS!$A$6:$CQ$92,36,),"")</f>
        <v>Yes</v>
      </c>
      <c r="I33" s="111" t="str">
        <f>IF(HLOOKUP(I$6,CHARMS!$A$6:$CQ$92,36,)&lt;&gt;0,HLOOKUP(I$6,CHARMS!$A$6:$CQ$92,36,),"")</f>
        <v>Yes</v>
      </c>
      <c r="J33" s="111" t="str">
        <f>IF(HLOOKUP(J$6,CHARMS!$A$6:$CQ$92,36,)&lt;&gt;0,HLOOKUP(J$6,CHARMS!$A$6:$CQ$92,36,),"")</f>
        <v>Yes</v>
      </c>
      <c r="K33" s="111" t="str">
        <f>IF(HLOOKUP(K$6,CHARMS!$A$6:$CQ$92,36,)&lt;&gt;0,HLOOKUP(K$6,CHARMS!$A$6:$CQ$92,36,),"")</f>
        <v>No</v>
      </c>
      <c r="L33" s="111" t="str">
        <f>IF(HLOOKUP(L$6,CHARMS!$A$6:$CQ$92,36,)&lt;&gt;0,HLOOKUP(L$6,CHARMS!$A$6:$CQ$92,36,),"")</f>
        <v>No</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291</v>
      </c>
      <c r="B34" s="111" t="str">
        <f>IF(HLOOKUP(B$6,CHARMS!$A$6:$CQ$92,37,)&lt;&gt;0,HLOOKUP(B$6,CHARMS!$A$6:$CQ$92,37,),"")</f>
        <v>No information</v>
      </c>
      <c r="C34" s="111" t="str">
        <f>IF(HLOOKUP(C$6,CHARMS!$A$6:$CQ$92,37,)&lt;&gt;0,HLOOKUP(C$6,CHARMS!$A$6:$CQ$92,37,),"")</f>
        <v>No information</v>
      </c>
      <c r="D34" s="111" t="str">
        <f>IF(HLOOKUP(D$6,CHARMS!$A$6:$CQ$92,37,)&lt;&gt;0,HLOOKUP(D$6,CHARMS!$A$6:$CQ$92,37,),"")</f>
        <v>No information</v>
      </c>
      <c r="E34" s="111" t="str">
        <f>IF(HLOOKUP(E$6,CHARMS!$A$6:$CQ$92,37,)&lt;&gt;0,HLOOKUP(E$6,CHARMS!$A$6:$CQ$92,37,),"")</f>
        <v>No information</v>
      </c>
      <c r="F34" s="111" t="e">
        <f>IF(HLOOKUP(F$6,CHARMS!$A$6:$CQ$92,37,)&lt;&gt;0,HLOOKUP(F$6,CHARMS!$A$6:$CQ$92,37,),"")</f>
        <v>#REF!</v>
      </c>
      <c r="G34" s="111" t="str">
        <f>IF(HLOOKUP(G$6,CHARMS!$A$6:$CQ$92,37,)&lt;&gt;0,HLOOKUP(G$6,CHARMS!$A$6:$CQ$92,37,),"")</f>
        <v>No information</v>
      </c>
      <c r="H34" s="111" t="str">
        <f>IF(HLOOKUP(H$6,CHARMS!$A$6:$CQ$92,37,)&lt;&gt;0,HLOOKUP(H$6,CHARMS!$A$6:$CQ$92,37,),"")</f>
        <v>No information</v>
      </c>
      <c r="I34" s="111" t="str">
        <f>IF(HLOOKUP(I$6,CHARMS!$A$6:$CQ$92,37,)&lt;&gt;0,HLOOKUP(I$6,CHARMS!$A$6:$CQ$92,37,),"")</f>
        <v>No information</v>
      </c>
      <c r="J34" s="111" t="str">
        <f>IF(HLOOKUP(J$6,CHARMS!$A$6:$CQ$92,37,)&lt;&gt;0,HLOOKUP(J$6,CHARMS!$A$6:$CQ$92,37,),"")</f>
        <v>No information</v>
      </c>
      <c r="K34" s="111" t="str">
        <f>IF(HLOOKUP(K$6,CHARMS!$A$6:$CQ$92,37,)&lt;&gt;0,HLOOKUP(K$6,CHARMS!$A$6:$CQ$92,37,),"")</f>
        <v>No information</v>
      </c>
      <c r="L34" s="111" t="str">
        <f>IF(HLOOKUP(L$6,CHARMS!$A$6:$CQ$92,37,)&lt;&gt;0,HLOOKUP(L$6,CHARMS!$A$6:$CQ$92,37,),"")</f>
        <v>No information</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292</v>
      </c>
      <c r="B35" s="113" t="str">
        <f>IF(HLOOKUP(B$6,CHARMS!$A$6:$CQ$92,35,)&lt;&gt;0,HLOOKUP(B$6,CHARMS!$A$6:$CQ$92,35,),"")</f>
        <v>Pre-operative</v>
      </c>
      <c r="C35" s="113" t="str">
        <f>IF(HLOOKUP(C$6,CHARMS!$A$6:$CQ$92,35,)&lt;&gt;0,HLOOKUP(C$6,CHARMS!$A$6:$CQ$92,35,),"")</f>
        <v>pre-operative</v>
      </c>
      <c r="D35" s="113" t="str">
        <f>IF(HLOOKUP(D$6,CHARMS!$A$6:$CQ$92,35,)&lt;&gt;0,HLOOKUP(D$6,CHARMS!$A$6:$CQ$92,35,),"")</f>
        <v>Pre-operative</v>
      </c>
      <c r="E35" s="113" t="str">
        <f>IF(HLOOKUP(E$6,CHARMS!$A$6:$CQ$92,35,)&lt;&gt;0,HLOOKUP(E$6,CHARMS!$A$6:$CQ$92,35,),"")</f>
        <v>Pre-operative</v>
      </c>
      <c r="F35" s="113" t="e">
        <f>IF(HLOOKUP(F$6,CHARMS!$A$6:$CQ$92,35,)&lt;&gt;0,HLOOKUP(F$6,CHARMS!$A$6:$CQ$92,35,),"")</f>
        <v>#REF!</v>
      </c>
      <c r="G35" s="113" t="str">
        <f>IF(HLOOKUP(G$6,CHARMS!$A$6:$CQ$92,35,)&lt;&gt;0,HLOOKUP(G$6,CHARMS!$A$6:$CQ$92,35,),"")</f>
        <v>Pre-operative</v>
      </c>
      <c r="H35" s="113" t="str">
        <f>IF(HLOOKUP(H$6,CHARMS!$A$6:$CQ$92,35,)&lt;&gt;0,HLOOKUP(H$6,CHARMS!$A$6:$CQ$92,35,),"")</f>
        <v>Pre-operative</v>
      </c>
      <c r="I35" s="113" t="str">
        <f>IF(HLOOKUP(I$6,CHARMS!$A$6:$CQ$92,35,)&lt;&gt;0,HLOOKUP(I$6,CHARMS!$A$6:$CQ$92,35,),"")</f>
        <v>Pre-operative</v>
      </c>
      <c r="J35" s="113" t="str">
        <f>IF(HLOOKUP(J$6,CHARMS!$A$6:$CQ$92,35,)&lt;&gt;0,HLOOKUP(J$6,CHARMS!$A$6:$CQ$92,35,),"")</f>
        <v>Pre-operative</v>
      </c>
      <c r="K35" s="113" t="str">
        <f>IF(HLOOKUP(K$6,CHARMS!$A$6:$CQ$92,35,)&lt;&gt;0,HLOOKUP(K$6,CHARMS!$A$6:$CQ$92,35,),"")</f>
        <v>Pre-operative</v>
      </c>
      <c r="L35" s="113" t="str">
        <f>IF(HLOOKUP(L$6,CHARMS!$A$6:$CQ$92,35,)&lt;&gt;0,HLOOKUP(L$6,CHARMS!$A$6:$CQ$92,35,),"")</f>
        <v>Pre-operative</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280</v>
      </c>
      <c r="B36" s="29" t="s">
        <v>293</v>
      </c>
      <c r="C36" s="29" t="s">
        <v>294</v>
      </c>
      <c r="D36" s="29"/>
      <c r="E36" s="29"/>
      <c r="F36" s="29" t="s">
        <v>295</v>
      </c>
      <c r="G36" s="29"/>
      <c r="H36" s="29"/>
      <c r="I36" s="29"/>
      <c r="J36" s="29"/>
      <c r="K36" s="29" t="s">
        <v>296</v>
      </c>
      <c r="L36" s="29" t="s">
        <v>297</v>
      </c>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298</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299</v>
      </c>
      <c r="B38" s="27" t="s">
        <v>136</v>
      </c>
      <c r="C38" s="27" t="s">
        <v>136</v>
      </c>
      <c r="D38" s="27" t="s">
        <v>136</v>
      </c>
      <c r="E38" s="27" t="s">
        <v>136</v>
      </c>
      <c r="F38" s="27" t="s">
        <v>136</v>
      </c>
      <c r="G38" s="27" t="s">
        <v>136</v>
      </c>
      <c r="H38" s="27" t="s">
        <v>136</v>
      </c>
      <c r="I38" s="27" t="s">
        <v>136</v>
      </c>
      <c r="J38" s="27" t="s">
        <v>136</v>
      </c>
      <c r="K38" s="27" t="s">
        <v>136</v>
      </c>
      <c r="L38" s="27" t="s">
        <v>136</v>
      </c>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300</v>
      </c>
      <c r="B39" s="30" t="s">
        <v>136</v>
      </c>
      <c r="C39" s="30" t="s">
        <v>136</v>
      </c>
      <c r="D39" s="30" t="s">
        <v>136</v>
      </c>
      <c r="E39" s="30" t="s">
        <v>136</v>
      </c>
      <c r="F39" s="30" t="s">
        <v>136</v>
      </c>
      <c r="G39" s="30" t="s">
        <v>136</v>
      </c>
      <c r="H39" s="30" t="s">
        <v>136</v>
      </c>
      <c r="I39" s="30" t="s">
        <v>136</v>
      </c>
      <c r="J39" s="30" t="s">
        <v>136</v>
      </c>
      <c r="K39" s="30" t="s">
        <v>136</v>
      </c>
      <c r="L39" s="30" t="s">
        <v>136</v>
      </c>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301</v>
      </c>
      <c r="B40" s="30" t="s">
        <v>136</v>
      </c>
      <c r="C40" s="30" t="s">
        <v>136</v>
      </c>
      <c r="D40" s="30" t="s">
        <v>136</v>
      </c>
      <c r="E40" s="30" t="s">
        <v>136</v>
      </c>
      <c r="F40" s="30" t="s">
        <v>136</v>
      </c>
      <c r="G40" s="30" t="s">
        <v>136</v>
      </c>
      <c r="H40" s="30" t="s">
        <v>136</v>
      </c>
      <c r="I40" s="30" t="s">
        <v>136</v>
      </c>
      <c r="J40" s="30" t="s">
        <v>136</v>
      </c>
      <c r="K40" s="30" t="s">
        <v>136</v>
      </c>
      <c r="L40" s="30" t="s">
        <v>136</v>
      </c>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302</v>
      </c>
      <c r="B41" s="30" t="s">
        <v>136</v>
      </c>
      <c r="C41" s="30" t="s">
        <v>136</v>
      </c>
      <c r="D41" s="30" t="s">
        <v>136</v>
      </c>
      <c r="E41" s="30" t="s">
        <v>136</v>
      </c>
      <c r="F41" s="30" t="s">
        <v>136</v>
      </c>
      <c r="G41" s="30" t="s">
        <v>136</v>
      </c>
      <c r="H41" s="30" t="s">
        <v>136</v>
      </c>
      <c r="I41" s="30" t="s">
        <v>136</v>
      </c>
      <c r="J41" s="30" t="s">
        <v>136</v>
      </c>
      <c r="K41" s="30" t="s">
        <v>136</v>
      </c>
      <c r="L41" s="30" t="s">
        <v>136</v>
      </c>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303</v>
      </c>
      <c r="B42" s="30" t="s">
        <v>266</v>
      </c>
      <c r="C42" s="30" t="s">
        <v>266</v>
      </c>
      <c r="D42" s="30" t="s">
        <v>266</v>
      </c>
      <c r="E42" s="30" t="s">
        <v>266</v>
      </c>
      <c r="F42" s="30" t="s">
        <v>266</v>
      </c>
      <c r="G42" s="30" t="s">
        <v>266</v>
      </c>
      <c r="H42" s="30" t="s">
        <v>266</v>
      </c>
      <c r="I42" s="30" t="s">
        <v>266</v>
      </c>
      <c r="J42" s="30" t="s">
        <v>266</v>
      </c>
      <c r="K42" s="30" t="s">
        <v>266</v>
      </c>
      <c r="L42" s="30" t="s">
        <v>266</v>
      </c>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304</v>
      </c>
      <c r="B43" s="28" t="s">
        <v>266</v>
      </c>
      <c r="C43" s="28" t="s">
        <v>263</v>
      </c>
      <c r="D43" s="28" t="s">
        <v>263</v>
      </c>
      <c r="E43" s="28" t="s">
        <v>263</v>
      </c>
      <c r="F43" s="28" t="s">
        <v>263</v>
      </c>
      <c r="G43" s="28" t="s">
        <v>263</v>
      </c>
      <c r="H43" s="28" t="s">
        <v>263</v>
      </c>
      <c r="I43" s="28" t="s">
        <v>263</v>
      </c>
      <c r="J43" s="28" t="s">
        <v>263</v>
      </c>
      <c r="K43" s="28" t="s">
        <v>263</v>
      </c>
      <c r="L43" s="28" t="s">
        <v>263</v>
      </c>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305</v>
      </c>
      <c r="B44" s="33" t="s">
        <v>269</v>
      </c>
      <c r="C44" s="33" t="s">
        <v>269</v>
      </c>
      <c r="D44" s="33" t="s">
        <v>269</v>
      </c>
      <c r="E44" s="33" t="s">
        <v>74</v>
      </c>
      <c r="F44" s="33" t="s">
        <v>269</v>
      </c>
      <c r="G44" s="33" t="s">
        <v>269</v>
      </c>
      <c r="H44" s="33" t="s">
        <v>269</v>
      </c>
      <c r="I44" s="33" t="s">
        <v>269</v>
      </c>
      <c r="J44" s="33" t="s">
        <v>269</v>
      </c>
      <c r="K44" s="33" t="s">
        <v>269</v>
      </c>
      <c r="L44" s="33" t="s">
        <v>269</v>
      </c>
      <c r="M44" s="33" t="s">
        <v>269</v>
      </c>
      <c r="N44" s="33" t="s">
        <v>269</v>
      </c>
      <c r="O44" s="33" t="s">
        <v>269</v>
      </c>
      <c r="P44" s="33" t="s">
        <v>269</v>
      </c>
      <c r="Q44" s="33" t="s">
        <v>269</v>
      </c>
      <c r="R44" s="33" t="s">
        <v>269</v>
      </c>
      <c r="S44" s="33" t="s">
        <v>269</v>
      </c>
      <c r="T44" s="33" t="s">
        <v>269</v>
      </c>
      <c r="U44" s="33" t="s">
        <v>269</v>
      </c>
      <c r="V44" s="33"/>
      <c r="W44" s="33"/>
      <c r="X44" s="33"/>
      <c r="Y44" s="33"/>
      <c r="Z44" s="33"/>
      <c r="AA44" s="33"/>
      <c r="AB44" s="33"/>
      <c r="AC44" s="33"/>
      <c r="AD44" s="33"/>
      <c r="AE44" s="33"/>
    </row>
    <row r="45" spans="1:31" s="83" customFormat="1" ht="18.75" customHeight="1" x14ac:dyDescent="0.25">
      <c r="A45" s="107" t="s">
        <v>270</v>
      </c>
      <c r="B45" s="34" t="s">
        <v>271</v>
      </c>
      <c r="C45" s="34" t="s">
        <v>271</v>
      </c>
      <c r="D45" s="34" t="s">
        <v>271</v>
      </c>
      <c r="E45" s="34" t="s">
        <v>271</v>
      </c>
      <c r="F45" s="34" t="s">
        <v>271</v>
      </c>
      <c r="G45" s="34" t="s">
        <v>272</v>
      </c>
      <c r="H45" s="34" t="s">
        <v>271</v>
      </c>
      <c r="I45" s="34" t="s">
        <v>271</v>
      </c>
      <c r="J45" s="34" t="s">
        <v>271</v>
      </c>
      <c r="K45" s="34" t="s">
        <v>271</v>
      </c>
      <c r="L45" s="34" t="s">
        <v>271</v>
      </c>
      <c r="M45" s="34" t="s">
        <v>272</v>
      </c>
      <c r="N45" s="34" t="s">
        <v>271</v>
      </c>
      <c r="O45" s="34" t="s">
        <v>271</v>
      </c>
      <c r="P45" s="34" t="s">
        <v>272</v>
      </c>
      <c r="Q45" s="34" t="s">
        <v>271</v>
      </c>
      <c r="R45" s="34" t="s">
        <v>271</v>
      </c>
      <c r="S45" s="34" t="s">
        <v>271</v>
      </c>
      <c r="T45" s="34" t="s">
        <v>271</v>
      </c>
      <c r="U45" s="34" t="s">
        <v>271</v>
      </c>
      <c r="V45" s="34"/>
      <c r="W45" s="34"/>
      <c r="X45" s="34"/>
      <c r="Y45" s="34"/>
      <c r="Z45" s="34"/>
      <c r="AA45" s="34"/>
      <c r="AB45" s="34"/>
      <c r="AC45" s="34"/>
      <c r="AD45" s="34"/>
      <c r="AE45" s="34"/>
    </row>
    <row r="46" spans="1:31" s="83" customFormat="1" ht="15" customHeight="1" x14ac:dyDescent="0.25">
      <c r="A46" s="108" t="s">
        <v>273</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306</v>
      </c>
      <c r="B47" s="111" t="str">
        <f>IF(HLOOKUP(B$6,CHARMS!$A$6:$CQ$89,26,)&lt;&gt;0,HLOOKUP(B$6,CHARMS!$A$6:$CQ$92,26,),"")</f>
        <v>Death occurring before discharge or within 30 days of surgery.</v>
      </c>
      <c r="C47" s="111" t="str">
        <f>IF(HLOOKUP(C$6,CHARMS!$A$6:$CQ$89,26,)&lt;&gt;0,HLOOKUP(C$6,CHARMS!$A$6:$CQ$92,26,),"")</f>
        <v>30-day death or in hospital death</v>
      </c>
      <c r="D47" s="111" t="str">
        <f>IF(HLOOKUP(D$6,CHARMS!$A$6:$CQ$89,26,)&lt;&gt;0,HLOOKUP(D$6,CHARMS!$A$6:$CQ$92,26,),"")</f>
        <v>Operative mortality ocurring during the admission</v>
      </c>
      <c r="E47" s="111" t="str">
        <f>IF(HLOOKUP(E$6,CHARMS!$A$6:$CQ$89,26,)&lt;&gt;0,HLOOKUP(E$6,CHARMS!$A$6:$CQ$92,26,),"")</f>
        <v>at 30 days or during the index hospitalization</v>
      </c>
      <c r="F47" s="111" t="e">
        <f>IF(HLOOKUP(F$6,CHARMS!$A$6:$CQ$89,26,)&lt;&gt;0,HLOOKUP(F$6,CHARMS!$A$6:$CQ$92,26,),"")</f>
        <v>#REF!</v>
      </c>
      <c r="G47" s="111" t="str">
        <f>IF(HLOOKUP(G$6,CHARMS!$A$6:$CQ$89,26,)&lt;&gt;0,HLOOKUP(G$6,CHARMS!$A$6:$CQ$92,26,),"")</f>
        <v>In-hospital death</v>
      </c>
      <c r="H47" s="111" t="str">
        <f>IF(HLOOKUP(H$6,CHARMS!$A$6:$CQ$89,26,)&lt;&gt;0,HLOOKUP(H$6,CHARMS!$A$6:$CQ$92,26,),"")</f>
        <v>Death by 30 days after surgery due to any cause</v>
      </c>
      <c r="I47" s="111" t="str">
        <f>IF(HLOOKUP(I$6,CHARMS!$A$6:$CQ$89,26,)&lt;&gt;0,HLOOKUP(I$6,CHARMS!$A$6:$CQ$92,26,),"")</f>
        <v>In-hospital postsurgery mortality</v>
      </c>
      <c r="J47" s="111" t="str">
        <f>IF(HLOOKUP(J$6,CHARMS!$A$6:$CQ$89,26,)&lt;&gt;0,HLOOKUP(J$6,CHARMS!$A$6:$CQ$92,26,),"")</f>
        <v>Death ocurring after surgery and before discharge, regardless of its cause.</v>
      </c>
      <c r="K47" s="111" t="str">
        <f>IF(HLOOKUP(K$6,CHARMS!$A$6:$CQ$89,26,)&lt;&gt;0,HLOOKUP(K$6,CHARMS!$A$6:$CQ$92,26,),"")</f>
        <v>Death occurring within the first 30 days after cardiac surgery.</v>
      </c>
      <c r="L47" s="111" t="str">
        <f>IF(HLOOKUP(L$6,CHARMS!$A$6:$CQ$89,26,)&lt;&gt;0,HLOOKUP(L$6,CHARMS!$A$6:$CQ$92,26,),"")</f>
        <v>Death occurring within the first 30 days after cardiac surgery.</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307</v>
      </c>
      <c r="B48" s="111" t="str">
        <f>IF(HLOOKUP(B$6,CHARMS!$A$6:$CQ$89,27,)&lt;&gt;0,HLOOKUP(B$6,CHARMS!$A$6:$CQ$89,27,),"")</f>
        <v>Yes</v>
      </c>
      <c r="C48" s="111" t="str">
        <f>IF(HLOOKUP(C$6,CHARMS!$A$6:$CQ$89,27,)&lt;&gt;0,HLOOKUP(C$6,CHARMS!$A$6:$CQ$89,27,),"")</f>
        <v>Yes</v>
      </c>
      <c r="D48" s="111" t="str">
        <f>IF(HLOOKUP(D$6,CHARMS!$A$6:$CQ$89,27,)&lt;&gt;0,HLOOKUP(D$6,CHARMS!$A$6:$CQ$89,27,),"")</f>
        <v>Yes</v>
      </c>
      <c r="E48" s="111" t="str">
        <f>IF(HLOOKUP(E$6,CHARMS!$A$6:$CQ$89,27,)&lt;&gt;0,HLOOKUP(E$6,CHARMS!$A$6:$CQ$89,27,),"")</f>
        <v>Yes</v>
      </c>
      <c r="F48" s="111" t="e">
        <f>IF(HLOOKUP(F$6,CHARMS!$A$6:$CQ$89,27,)&lt;&gt;0,HLOOKUP(F$6,CHARMS!$A$6:$CQ$89,27,),"")</f>
        <v>#REF!</v>
      </c>
      <c r="G48" s="111" t="str">
        <f>IF(HLOOKUP(G$6,CHARMS!$A$6:$CQ$89,27,)&lt;&gt;0,HLOOKUP(G$6,CHARMS!$A$6:$CQ$89,27,),"")</f>
        <v>Yes</v>
      </c>
      <c r="H48" s="111" t="str">
        <f>IF(HLOOKUP(H$6,CHARMS!$A$6:$CQ$89,27,)&lt;&gt;0,HLOOKUP(H$6,CHARMS!$A$6:$CQ$89,27,),"")</f>
        <v>Yes</v>
      </c>
      <c r="I48" s="111" t="str">
        <f>IF(HLOOKUP(I$6,CHARMS!$A$6:$CQ$89,27,)&lt;&gt;0,HLOOKUP(I$6,CHARMS!$A$6:$CQ$89,27,),"")</f>
        <v>Yes</v>
      </c>
      <c r="J48" s="111" t="str">
        <f>IF(HLOOKUP(J$6,CHARMS!$A$6:$CQ$89,27,)&lt;&gt;0,HLOOKUP(J$6,CHARMS!$A$6:$CQ$89,27,),"")</f>
        <v>Yes</v>
      </c>
      <c r="K48" s="111" t="str">
        <f>IF(HLOOKUP(K$6,CHARMS!$A$6:$CQ$89,27,)&lt;&gt;0,HLOOKUP(K$6,CHARMS!$A$6:$CQ$89,27,),"")</f>
        <v>Yes</v>
      </c>
      <c r="L48" s="111" t="str">
        <f>IF(HLOOKUP(L$6,CHARMS!$A$6:$CQ$89,27,)&lt;&gt;0,HLOOKUP(L$6,CHARMS!$A$6:$CQ$89,27,),"")</f>
        <v>Yes</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308</v>
      </c>
      <c r="B49" s="111" t="str">
        <f>IF(HLOOKUP(B$6,CHARMS!$A$6:$CQ$89,29,)&lt;&gt;0,HLOOKUP(B$6,CHARMS!$A$6:$CQ$89,29,),"")</f>
        <v>Unclear</v>
      </c>
      <c r="C49" s="111" t="str">
        <f>IF(HLOOKUP(C$6,CHARMS!$A$6:$CQ$89,29,)&lt;&gt;0,HLOOKUP(C$6,CHARMS!$A$6:$CQ$89,29,),"")</f>
        <v>Unclear</v>
      </c>
      <c r="D49" s="111" t="str">
        <f>IF(HLOOKUP(D$6,CHARMS!$A$6:$CQ$89,29,)&lt;&gt;0,HLOOKUP(D$6,CHARMS!$A$6:$CQ$89,29,),"")</f>
        <v>Unclear</v>
      </c>
      <c r="E49" s="111" t="str">
        <f>IF(HLOOKUP(E$6,CHARMS!$A$6:$CQ$89,29,)&lt;&gt;0,HLOOKUP(E$6,CHARMS!$A$6:$CQ$89,29,),"")</f>
        <v>Unclear</v>
      </c>
      <c r="F49" s="111" t="e">
        <f>IF(HLOOKUP(F$6,CHARMS!$A$6:$CQ$89,29,)&lt;&gt;0,HLOOKUP(F$6,CHARMS!$A$6:$CQ$89,29,),"")</f>
        <v>#REF!</v>
      </c>
      <c r="G49" s="111" t="str">
        <f>IF(HLOOKUP(G$6,CHARMS!$A$6:$CQ$89,29,)&lt;&gt;0,HLOOKUP(G$6,CHARMS!$A$6:$CQ$89,29,),"")</f>
        <v>Unclear</v>
      </c>
      <c r="H49" s="111" t="str">
        <f>IF(HLOOKUP(H$6,CHARMS!$A$6:$CQ$89,29,)&lt;&gt;0,HLOOKUP(H$6,CHARMS!$A$6:$CQ$89,29,),"")</f>
        <v>Unclear</v>
      </c>
      <c r="I49" s="111" t="str">
        <f>IF(HLOOKUP(I$6,CHARMS!$A$6:$CQ$89,29,)&lt;&gt;0,HLOOKUP(I$6,CHARMS!$A$6:$CQ$89,29,),"")</f>
        <v>Unclear</v>
      </c>
      <c r="J49" s="111" t="str">
        <f>IF(HLOOKUP(J$6,CHARMS!$A$6:$CQ$89,29,)&lt;&gt;0,HLOOKUP(J$6,CHARMS!$A$6:$CQ$89,29,),"")</f>
        <v>Unclear</v>
      </c>
      <c r="K49" s="111" t="str">
        <f>IF(HLOOKUP(K$6,CHARMS!$A$6:$CQ$89,29,)&lt;&gt;0,HLOOKUP(K$6,CHARMS!$A$6:$CQ$89,29,),"")</f>
        <v>Unclear</v>
      </c>
      <c r="L49" s="111" t="str">
        <f>IF(HLOOKUP(L$6,CHARMS!$A$6:$CQ$89,29,)&lt;&gt;0,HLOOKUP(L$6,CHARMS!$A$6:$CQ$89,29,),"")</f>
        <v>Unclear</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309</v>
      </c>
      <c r="B50" s="111" t="str">
        <f>IF(HLOOKUP(B$6,CHARMS!$A$6:$CQ$89,30,)&lt;&gt;0,HLOOKUP(B$6,CHARMS!$A$6:$CQ$89,30,),"")</f>
        <v>No</v>
      </c>
      <c r="C50" s="111" t="str">
        <f>IF(HLOOKUP(C$6,CHARMS!$A$6:$CQ$89,30,)&lt;&gt;0,HLOOKUP(C$6,CHARMS!$A$6:$CQ$89,30,),"")</f>
        <v>No</v>
      </c>
      <c r="D50" s="111" t="str">
        <f>IF(HLOOKUP(D$6,CHARMS!$A$6:$CQ$89,30,)&lt;&gt;0,HLOOKUP(D$6,CHARMS!$A$6:$CQ$89,30,),"")</f>
        <v>No</v>
      </c>
      <c r="E50" s="111" t="str">
        <f>IF(HLOOKUP(E$6,CHARMS!$A$6:$CQ$89,30,)&lt;&gt;0,HLOOKUP(E$6,CHARMS!$A$6:$CQ$89,30,),"")</f>
        <v>No information</v>
      </c>
      <c r="F50" s="111" t="e">
        <f>IF(HLOOKUP(F$6,CHARMS!$A$6:$CQ$89,30,)&lt;&gt;0,HLOOKUP(F$6,CHARMS!$A$6:$CQ$89,30,),"")</f>
        <v>#REF!</v>
      </c>
      <c r="G50" s="111" t="str">
        <f>IF(HLOOKUP(G$6,CHARMS!$A$6:$CQ$89,30,)&lt;&gt;0,HLOOKUP(G$6,CHARMS!$A$6:$CQ$89,30,),"")</f>
        <v>No</v>
      </c>
      <c r="H50" s="111" t="str">
        <f>IF(HLOOKUP(H$6,CHARMS!$A$6:$CQ$89,30,)&lt;&gt;0,HLOOKUP(H$6,CHARMS!$A$6:$CQ$89,30,),"")</f>
        <v>No information</v>
      </c>
      <c r="I50" s="111" t="str">
        <f>IF(HLOOKUP(I$6,CHARMS!$A$6:$CQ$89,30,)&lt;&gt;0,HLOOKUP(I$6,CHARMS!$A$6:$CQ$89,30,),"")</f>
        <v>No</v>
      </c>
      <c r="J50" s="111" t="str">
        <f>IF(HLOOKUP(J$6,CHARMS!$A$6:$CQ$89,30,)&lt;&gt;0,HLOOKUP(J$6,CHARMS!$A$6:$CQ$89,30,),"")</f>
        <v>No</v>
      </c>
      <c r="K50" s="111" t="str">
        <f>IF(HLOOKUP(K$6,CHARMS!$A$6:$CQ$89,30,)&lt;&gt;0,HLOOKUP(K$6,CHARMS!$A$6:$CQ$89,30,),"")</f>
        <v>No</v>
      </c>
      <c r="L50" s="111" t="str">
        <f>IF(HLOOKUP(L$6,CHARMS!$A$6:$CQ$89,30,)&lt;&gt;0,HLOOKUP(L$6,CHARMS!$A$6:$CQ$89,30,),"")</f>
        <v>No</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310</v>
      </c>
      <c r="B51" s="113" t="str">
        <f>IF(HLOOKUP(B$6,CHARMS!$A$6:$CQ$89,31,)&lt;&gt;0,HLOOKUP(B$6,CHARMS!$A$6:$CQ$89,31,),"")</f>
        <v>30 days or lenght of hospital stay</v>
      </c>
      <c r="C51" s="113" t="str">
        <f>IF(HLOOKUP(C$6,CHARMS!$A$6:$CQ$89,31,)&lt;&gt;0,HLOOKUP(C$6,CHARMS!$A$6:$CQ$89,31,),"")</f>
        <v>30 days or lenght of hospital stay</v>
      </c>
      <c r="D51" s="113" t="str">
        <f>IF(HLOOKUP(D$6,CHARMS!$A$6:$CQ$89,31,)&lt;&gt;0,HLOOKUP(D$6,CHARMS!$A$6:$CQ$89,31,),"")</f>
        <v>Lenght of hospital stay</v>
      </c>
      <c r="E51" s="113" t="str">
        <f>IF(HLOOKUP(E$6,CHARMS!$A$6:$CQ$89,31,)&lt;&gt;0,HLOOKUP(E$6,CHARMS!$A$6:$CQ$89,31,),"")</f>
        <v>30 days or lenght of hospital stay</v>
      </c>
      <c r="F51" s="113" t="e">
        <f>IF(HLOOKUP(F$6,CHARMS!$A$6:$CQ$89,31,)&lt;&gt;0,HLOOKUP(F$6,CHARMS!$A$6:$CQ$89,31,),"")</f>
        <v>#REF!</v>
      </c>
      <c r="G51" s="113" t="str">
        <f>IF(HLOOKUP(G$6,CHARMS!$A$6:$CQ$89,31,)&lt;&gt;0,HLOOKUP(G$6,CHARMS!$A$6:$CQ$89,31,),"")</f>
        <v>Lenght of hospital stay</v>
      </c>
      <c r="H51" s="113" t="str">
        <f>IF(HLOOKUP(H$6,CHARMS!$A$6:$CQ$89,31,)&lt;&gt;0,HLOOKUP(H$6,CHARMS!$A$6:$CQ$89,31,),"")</f>
        <v>30 days</v>
      </c>
      <c r="I51" s="113" t="str">
        <f>IF(HLOOKUP(I$6,CHARMS!$A$6:$CQ$89,31,)&lt;&gt;0,HLOOKUP(I$6,CHARMS!$A$6:$CQ$89,31,),"")</f>
        <v>Lenght of hospital stay</v>
      </c>
      <c r="J51" s="113" t="str">
        <f>IF(HLOOKUP(J$6,CHARMS!$A$6:$CQ$89,31,)&lt;&gt;0,HLOOKUP(J$6,CHARMS!$A$6:$CQ$89,31,),"")</f>
        <v>Lenght of hospital stay</v>
      </c>
      <c r="K51" s="113" t="str">
        <f>IF(HLOOKUP(K$6,CHARMS!$A$6:$CQ$89,31,)&lt;&gt;0,HLOOKUP(K$6,CHARMS!$A$6:$CQ$89,31,),"")</f>
        <v>30 days</v>
      </c>
      <c r="L51" s="113" t="str">
        <f>IF(HLOOKUP(L$6,CHARMS!$A$6:$CQ$89,31,)&lt;&gt;0,HLOOKUP(L$6,CHARMS!$A$6:$CQ$89,31,),"")</f>
        <v>30 days</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280</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311</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312</v>
      </c>
      <c r="B54" s="27" t="s">
        <v>136</v>
      </c>
      <c r="C54" s="27" t="s">
        <v>141</v>
      </c>
      <c r="D54" s="27" t="s">
        <v>266</v>
      </c>
      <c r="E54" s="27" t="s">
        <v>141</v>
      </c>
      <c r="F54" s="27" t="s">
        <v>141</v>
      </c>
      <c r="G54" s="27" t="s">
        <v>141</v>
      </c>
      <c r="H54" s="27" t="s">
        <v>265</v>
      </c>
      <c r="I54" s="27" t="s">
        <v>141</v>
      </c>
      <c r="J54" s="27" t="s">
        <v>141</v>
      </c>
      <c r="K54" s="27" t="s">
        <v>265</v>
      </c>
      <c r="L54" s="27" t="s">
        <v>265</v>
      </c>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313</v>
      </c>
      <c r="B55" s="30" t="s">
        <v>263</v>
      </c>
      <c r="C55" s="30" t="s">
        <v>141</v>
      </c>
      <c r="D55" s="30" t="s">
        <v>265</v>
      </c>
      <c r="E55" s="30" t="s">
        <v>265</v>
      </c>
      <c r="F55" s="30" t="s">
        <v>141</v>
      </c>
      <c r="G55" s="30" t="s">
        <v>141</v>
      </c>
      <c r="H55" s="30" t="s">
        <v>263</v>
      </c>
      <c r="I55" s="30" t="s">
        <v>141</v>
      </c>
      <c r="J55" s="30" t="s">
        <v>141</v>
      </c>
      <c r="K55" s="30" t="s">
        <v>263</v>
      </c>
      <c r="L55" s="30" t="s">
        <v>263</v>
      </c>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314</v>
      </c>
      <c r="B56" s="30" t="s">
        <v>265</v>
      </c>
      <c r="C56" s="30" t="s">
        <v>265</v>
      </c>
      <c r="D56" s="30" t="s">
        <v>263</v>
      </c>
      <c r="E56" s="30" t="s">
        <v>263</v>
      </c>
      <c r="F56" s="30" t="s">
        <v>266</v>
      </c>
      <c r="G56" s="30" t="s">
        <v>265</v>
      </c>
      <c r="H56" s="30" t="s">
        <v>263</v>
      </c>
      <c r="I56" s="30" t="s">
        <v>265</v>
      </c>
      <c r="J56" s="30" t="s">
        <v>141</v>
      </c>
      <c r="K56" s="30" t="s">
        <v>265</v>
      </c>
      <c r="L56" s="30" t="s">
        <v>265</v>
      </c>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315</v>
      </c>
      <c r="B57" s="30" t="s">
        <v>265</v>
      </c>
      <c r="C57" s="30" t="s">
        <v>266</v>
      </c>
      <c r="D57" s="30" t="s">
        <v>266</v>
      </c>
      <c r="E57" s="30" t="s">
        <v>266</v>
      </c>
      <c r="F57" s="30" t="s">
        <v>266</v>
      </c>
      <c r="G57" s="30" t="s">
        <v>266</v>
      </c>
      <c r="H57" s="30" t="s">
        <v>266</v>
      </c>
      <c r="I57" s="30" t="s">
        <v>266</v>
      </c>
      <c r="J57" s="30" t="s">
        <v>266</v>
      </c>
      <c r="K57" s="30" t="s">
        <v>266</v>
      </c>
      <c r="L57" s="30" t="s">
        <v>266</v>
      </c>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316</v>
      </c>
      <c r="B58" s="30" t="s">
        <v>141</v>
      </c>
      <c r="C58" s="30" t="s">
        <v>141</v>
      </c>
      <c r="D58" s="30" t="s">
        <v>141</v>
      </c>
      <c r="E58" s="30" t="s">
        <v>141</v>
      </c>
      <c r="F58" s="30" t="s">
        <v>141</v>
      </c>
      <c r="G58" s="30" t="s">
        <v>141</v>
      </c>
      <c r="H58" s="30" t="s">
        <v>141</v>
      </c>
      <c r="I58" s="30" t="s">
        <v>141</v>
      </c>
      <c r="J58" s="30" t="s">
        <v>141</v>
      </c>
      <c r="K58" s="30" t="s">
        <v>136</v>
      </c>
      <c r="L58" s="30" t="s">
        <v>136</v>
      </c>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317</v>
      </c>
      <c r="B59" s="30" t="s">
        <v>263</v>
      </c>
      <c r="C59" s="30" t="s">
        <v>136</v>
      </c>
      <c r="D59" s="30" t="s">
        <v>136</v>
      </c>
      <c r="E59" s="30" t="s">
        <v>136</v>
      </c>
      <c r="F59" s="30" t="s">
        <v>136</v>
      </c>
      <c r="G59" s="30" t="s">
        <v>136</v>
      </c>
      <c r="H59" s="30" t="s">
        <v>136</v>
      </c>
      <c r="I59" s="30" t="s">
        <v>136</v>
      </c>
      <c r="J59" s="30" t="s">
        <v>136</v>
      </c>
      <c r="K59" s="30" t="s">
        <v>136</v>
      </c>
      <c r="L59" s="30" t="s">
        <v>136</v>
      </c>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318</v>
      </c>
      <c r="B60" s="30" t="s">
        <v>265</v>
      </c>
      <c r="C60" s="30" t="s">
        <v>141</v>
      </c>
      <c r="D60" s="30" t="s">
        <v>141</v>
      </c>
      <c r="E60" s="30" t="s">
        <v>141</v>
      </c>
      <c r="F60" s="30" t="s">
        <v>136</v>
      </c>
      <c r="G60" s="30" t="s">
        <v>265</v>
      </c>
      <c r="H60" s="30" t="s">
        <v>136</v>
      </c>
      <c r="I60" s="30" t="s">
        <v>141</v>
      </c>
      <c r="J60" s="30" t="s">
        <v>136</v>
      </c>
      <c r="K60" s="30" t="s">
        <v>136</v>
      </c>
      <c r="L60" s="30" t="s">
        <v>136</v>
      </c>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319</v>
      </c>
      <c r="B61" s="30" t="s">
        <v>141</v>
      </c>
      <c r="C61" s="30" t="s">
        <v>141</v>
      </c>
      <c r="D61" s="30" t="s">
        <v>141</v>
      </c>
      <c r="E61" s="30" t="s">
        <v>141</v>
      </c>
      <c r="F61" s="30" t="s">
        <v>141</v>
      </c>
      <c r="G61" s="30" t="s">
        <v>141</v>
      </c>
      <c r="H61" s="30" t="s">
        <v>136</v>
      </c>
      <c r="I61" s="30" t="s">
        <v>141</v>
      </c>
      <c r="J61" s="30" t="s">
        <v>141</v>
      </c>
      <c r="K61" s="30" t="s">
        <v>136</v>
      </c>
      <c r="L61" s="30" t="s">
        <v>136</v>
      </c>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320</v>
      </c>
      <c r="B62" s="28" t="s">
        <v>136</v>
      </c>
      <c r="C62" s="28" t="s">
        <v>265</v>
      </c>
      <c r="D62" s="28" t="s">
        <v>265</v>
      </c>
      <c r="E62" s="28" t="s">
        <v>136</v>
      </c>
      <c r="F62" s="28" t="s">
        <v>136</v>
      </c>
      <c r="G62" s="28" t="s">
        <v>136</v>
      </c>
      <c r="H62" s="28" t="s">
        <v>136</v>
      </c>
      <c r="I62" s="28" t="s">
        <v>265</v>
      </c>
      <c r="J62" s="28" t="s">
        <v>136</v>
      </c>
      <c r="K62" s="28" t="s">
        <v>136</v>
      </c>
      <c r="L62" s="28" t="s">
        <v>136</v>
      </c>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321</v>
      </c>
      <c r="B63" s="32" t="s">
        <v>269</v>
      </c>
      <c r="C63" s="32" t="s">
        <v>269</v>
      </c>
      <c r="D63" s="32" t="s">
        <v>74</v>
      </c>
      <c r="E63" s="32" t="s">
        <v>74</v>
      </c>
      <c r="F63" s="32" t="s">
        <v>269</v>
      </c>
      <c r="G63" s="32" t="s">
        <v>268</v>
      </c>
      <c r="H63" s="32" t="s">
        <v>269</v>
      </c>
      <c r="I63" s="32" t="s">
        <v>269</v>
      </c>
      <c r="J63" s="32" t="s">
        <v>268</v>
      </c>
      <c r="K63" s="32" t="s">
        <v>269</v>
      </c>
      <c r="L63" s="32" t="s">
        <v>269</v>
      </c>
      <c r="M63" s="32" t="s">
        <v>74</v>
      </c>
      <c r="N63" s="32" t="s">
        <v>269</v>
      </c>
      <c r="O63" s="32" t="s">
        <v>269</v>
      </c>
      <c r="P63" s="32" t="s">
        <v>269</v>
      </c>
      <c r="Q63" s="32" t="s">
        <v>269</v>
      </c>
      <c r="R63" s="32" t="s">
        <v>269</v>
      </c>
      <c r="S63" s="32" t="s">
        <v>269</v>
      </c>
      <c r="T63" s="32" t="s">
        <v>269</v>
      </c>
      <c r="U63" s="32" t="s">
        <v>269</v>
      </c>
      <c r="V63" s="32"/>
      <c r="W63" s="32"/>
      <c r="X63" s="32"/>
      <c r="Y63" s="32"/>
      <c r="Z63" s="32"/>
      <c r="AA63" s="32"/>
      <c r="AB63" s="32"/>
      <c r="AC63" s="32"/>
      <c r="AD63" s="32"/>
      <c r="AE63" s="32"/>
    </row>
    <row r="64" spans="1:31" s="83" customFormat="1" ht="15" customHeight="1" x14ac:dyDescent="0.25">
      <c r="A64" s="118" t="s">
        <v>273</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322</v>
      </c>
      <c r="B65" s="111" t="str">
        <f>IF(HLOOKUP(B$6,CHARMS!$A$6:$CQ$89,41,)&lt;&gt;0,CONCATENATE(HLOOKUP(B$6,CHARMS!$A$6:$CQ$89,41,)," from ",HLOOKUP(B$6,CHARMS!$A$6:$CQ$89,40,)," (",FIXED((HLOOKUP(B$6,CHARMS!$A$6:$CQ$89,41,)/HLOOKUP(B$6,CHARMS!$A$6:$CQ$89,40,))*100,1),"%)"),"")</f>
        <v>1117 from 13617 (8.2%)</v>
      </c>
      <c r="C65" s="111" t="str">
        <f>IF(HLOOKUP(C$6,CHARMS!$A$6:$CQ$89,41,)&lt;&gt;0,CONCATENATE(HLOOKUP(C$6,CHARMS!$A$6:$CQ$89,41,)," from ",HLOOKUP(C$6,CHARMS!$A$6:$CQ$89,40,)," (",FIXED((HLOOKUP(C$6,CHARMS!$A$6:$CQ$89,41,)/HLOOKUP(C$6,CHARMS!$A$6:$CQ$89,40,))*100,1),"%)"),"")</f>
        <v>40 from 440 (9.1%)</v>
      </c>
      <c r="D65" s="111" t="str">
        <f>IF(HLOOKUP(D$6,CHARMS!$A$6:$CQ$89,41,)&lt;&gt;0,CONCATENATE(HLOOKUP(D$6,CHARMS!$A$6:$CQ$89,41,)," from ",HLOOKUP(D$6,CHARMS!$A$6:$CQ$89,40,)," (",FIXED((HLOOKUP(D$6,CHARMS!$A$6:$CQ$89,41,)/HLOOKUP(D$6,CHARMS!$A$6:$CQ$89,40,))*100,1),"%)"),"")</f>
        <v>106 from 437 (24.3%)</v>
      </c>
      <c r="E65" s="111" t="str">
        <f>IF(HLOOKUP(E$6,CHARMS!$A$6:$CQ$89,41,)&lt;&gt;0,CONCATENATE(HLOOKUP(E$6,CHARMS!$A$6:$CQ$89,41,)," from ",HLOOKUP(E$6,CHARMS!$A$6:$CQ$89,40,)," (",FIXED((HLOOKUP(E$6,CHARMS!$A$6:$CQ$89,41,)/HLOOKUP(E$6,CHARMS!$A$6:$CQ$89,40,))*100,1),"%)"),"")</f>
        <v>21 from 128 (16.4%)</v>
      </c>
      <c r="F65" s="111" t="e">
        <f>IF(HLOOKUP(F$6,CHARMS!$A$6:$CQ$89,41,)&lt;&gt;0,CONCATENATE(HLOOKUP(F$6,CHARMS!$A$6:$CQ$89,41,)," from ",HLOOKUP(F$6,CHARMS!$A$6:$CQ$89,40,)," (",FIXED((HLOOKUP(F$6,CHARMS!$A$6:$CQ$89,41,)/HLOOKUP(F$6,CHARMS!$A$6:$CQ$89,40,))*100,1),"%)"),"")</f>
        <v>#REF!</v>
      </c>
      <c r="G65" s="111" t="str">
        <f>IF(HLOOKUP(G$6,CHARMS!$A$6:$CQ$89,41,)&lt;&gt;0,CONCATENATE(HLOOKUP(G$6,CHARMS!$A$6:$CQ$89,41,)," from ",HLOOKUP(G$6,CHARMS!$A$6:$CQ$89,40,)," (",FIXED((HLOOKUP(G$6,CHARMS!$A$6:$CQ$89,41,)/HLOOKUP(G$6,CHARMS!$A$6:$CQ$89,40,))*100,1),"%)"),"")</f>
        <v>56 from 361 (15.5%)</v>
      </c>
      <c r="H65" s="111" t="str">
        <f>IF(HLOOKUP(H$6,CHARMS!$A$6:$CQ$89,41,)&lt;&gt;0,CONCATENATE(HLOOKUP(H$6,CHARMS!$A$6:$CQ$89,41,)," from ",HLOOKUP(H$6,CHARMS!$A$6:$CQ$89,40,)," (",FIXED((HLOOKUP(H$6,CHARMS!$A$6:$CQ$89,41,)/HLOOKUP(H$6,CHARMS!$A$6:$CQ$89,40,))*100,1),"%)"),"")</f>
        <v>298 from 2715 (11.0%)</v>
      </c>
      <c r="I65" s="111" t="str">
        <f>IF(HLOOKUP(I$6,CHARMS!$A$6:$CQ$89,41,)&lt;&gt;0,CONCATENATE(HLOOKUP(I$6,CHARMS!$A$6:$CQ$89,41,)," from ",HLOOKUP(I$6,CHARMS!$A$6:$CQ$89,40,)," (",FIXED((HLOOKUP(I$6,CHARMS!$A$6:$CQ$89,41,)/HLOOKUP(I$6,CHARMS!$A$6:$CQ$89,40,))*100,1),"%)"),"")</f>
        <v>28 from 138 (20.3%)</v>
      </c>
      <c r="J65" s="111" t="str">
        <f>IF(HLOOKUP(J$6,CHARMS!$A$6:$CQ$89,41,)&lt;&gt;0,CONCATENATE(HLOOKUP(J$6,CHARMS!$A$6:$CQ$89,41,)," from ",HLOOKUP(J$6,CHARMS!$A$6:$CQ$89,40,)," (",FIXED((HLOOKUP(J$6,CHARMS!$A$6:$CQ$89,41,)/HLOOKUP(J$6,CHARMS!$A$6:$CQ$89,40,))*100,1),"%)"),"")</f>
        <v>124 from 424 (29.2%)</v>
      </c>
      <c r="K65" s="111" t="str">
        <f>IF(HLOOKUP(K$6,CHARMS!$A$6:$CQ$89,41,)&lt;&gt;0,CONCATENATE(HLOOKUP(K$6,CHARMS!$A$6:$CQ$89,41,)," from ",HLOOKUP(K$6,CHARMS!$A$6:$CQ$89,40,)," (",FIXED((HLOOKUP(K$6,CHARMS!$A$6:$CQ$89,41,)/HLOOKUP(K$6,CHARMS!$A$6:$CQ$89,40,))*100,1),"%)"),"")</f>
        <v>208 from 779 (26.7%)</v>
      </c>
      <c r="L65" s="111" t="str">
        <f>IF(HLOOKUP(L$6,CHARMS!$A$6:$CQ$89,41,)&lt;&gt;0,CONCATENATE(HLOOKUP(L$6,CHARMS!$A$6:$CQ$89,41,)," from ",HLOOKUP(L$6,CHARMS!$A$6:$CQ$89,40,)," (",FIXED((HLOOKUP(L$6,CHARMS!$A$6:$CQ$89,41,)/HLOOKUP(L$6,CHARMS!$A$6:$CQ$89,40,))*100,1),"%)"),"")</f>
        <v>208 from 779 (26.7%)</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323</v>
      </c>
      <c r="B66" s="120">
        <f>IF(HLOOKUP(B$6,CHARMS!$A$6:$CQ$89,43,)&lt;&gt;0,HLOOKUP(B$6,CHARMS!$A$6:$CQ$89,43,),"")</f>
        <v>29.394736842105264</v>
      </c>
      <c r="C66" s="111">
        <f>IF(HLOOKUP(C$6,CHARMS!$A$6:$CQ$89,43,)&lt;&gt;0,HLOOKUP(C$6,CHARMS!$A$6:$CQ$89,43,),"")</f>
        <v>2.1052631578947367</v>
      </c>
      <c r="D66" s="111" t="str">
        <f>IF(HLOOKUP(D$6,CHARMS!$A$6:$CQ$89,43,)&lt;&gt;0,HLOOKUP(D$6,CHARMS!$A$6:$CQ$89,43,),"")</f>
        <v>Unknown</v>
      </c>
      <c r="E66" s="111">
        <f>IF(HLOOKUP(E$6,CHARMS!$A$6:$CQ$89,43,)&lt;&gt;0,HLOOKUP(E$6,CHARMS!$A$6:$CQ$89,43,),"")</f>
        <v>1.4</v>
      </c>
      <c r="F66" s="111" t="e">
        <f>IF(HLOOKUP(F$6,CHARMS!$A$6:$CQ$89,43,)&lt;&gt;0,HLOOKUP(F$6,CHARMS!$A$6:$CQ$89,43,),"")</f>
        <v>#REF!</v>
      </c>
      <c r="G66" s="111">
        <f>IF(HLOOKUP(G$6,CHARMS!$A$6:$CQ$89,43,)&lt;&gt;0,HLOOKUP(G$6,CHARMS!$A$6:$CQ$89,43,),"")</f>
        <v>0.98245614035087714</v>
      </c>
      <c r="H66" s="111">
        <f>IF(HLOOKUP(H$6,CHARMS!$A$6:$CQ$89,43,)&lt;&gt;0,HLOOKUP(H$6,CHARMS!$A$6:$CQ$89,43,),"")</f>
        <v>9.3125</v>
      </c>
      <c r="I66" s="111">
        <f>IF(HLOOKUP(I$6,CHARMS!$A$6:$CQ$89,43,)&lt;&gt;0,HLOOKUP(I$6,CHARMS!$A$6:$CQ$89,43,),"")</f>
        <v>0.5</v>
      </c>
      <c r="J66" s="111">
        <f>IF(HLOOKUP(J$6,CHARMS!$A$6:$CQ$89,43,)&lt;&gt;0,HLOOKUP(J$6,CHARMS!$A$6:$CQ$89,43,),"")</f>
        <v>3.3513513513513513</v>
      </c>
      <c r="K66" s="111">
        <f>IF(HLOOKUP(K$6,CHARMS!$A$6:$CQ$89,43,)&lt;&gt;0,HLOOKUP(K$6,CHARMS!$A$6:$CQ$89,43,),"")</f>
        <v>8</v>
      </c>
      <c r="L66" s="111">
        <f>IF(HLOOKUP(L$6,CHARMS!$A$6:$CQ$89,43,)&lt;&gt;0,HLOOKUP(L$6,CHARMS!$A$6:$CQ$89,43,),"")</f>
        <v>7.7037037037037033</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324</v>
      </c>
      <c r="B67" s="111" t="str">
        <f>IF(HLOOKUP(B$6,CHARMS!$A$6:$CQ$89,38,)&lt;&gt;0,HLOOKUP(B$6,CHARMS!$A$6:$CQ$89,38,),"")</f>
        <v>No information</v>
      </c>
      <c r="C67" s="111" t="str">
        <f>IF(HLOOKUP(C$6,CHARMS!$A$6:$CQ$89,38,)&lt;&gt;0,HLOOKUP(C$6,CHARMS!$A$6:$CQ$89,38,),"")</f>
        <v>No information</v>
      </c>
      <c r="D67" s="111" t="str">
        <f>IF(HLOOKUP(D$6,CHARMS!$A$6:$CQ$89,38,)&lt;&gt;0,HLOOKUP(D$6,CHARMS!$A$6:$CQ$89,38,),"")</f>
        <v>Dichotomization</v>
      </c>
      <c r="E67" s="111" t="str">
        <f>IF(HLOOKUP(E$6,CHARMS!$A$6:$CQ$89,38,)&lt;&gt;0,HLOOKUP(E$6,CHARMS!$A$6:$CQ$89,38,),"")</f>
        <v>No information</v>
      </c>
      <c r="F67" s="111" t="e">
        <f>IF(HLOOKUP(F$6,CHARMS!$A$6:$CQ$89,38,)&lt;&gt;0,HLOOKUP(F$6,CHARMS!$A$6:$CQ$89,38,),"")</f>
        <v>#REF!</v>
      </c>
      <c r="G67" s="111" t="str">
        <f>IF(HLOOKUP(G$6,CHARMS!$A$6:$CQ$89,38,)&lt;&gt;0,HLOOKUP(G$6,CHARMS!$A$6:$CQ$89,38,),"")</f>
        <v>No information</v>
      </c>
      <c r="H67" s="111" t="str">
        <f>IF(HLOOKUP(H$6,CHARMS!$A$6:$CQ$89,38,)&lt;&gt;0,HLOOKUP(H$6,CHARMS!$A$6:$CQ$89,38,),"")</f>
        <v>Restricted cubic spline function or categorization</v>
      </c>
      <c r="I67" s="111" t="str">
        <f>IF(HLOOKUP(I$6,CHARMS!$A$6:$CQ$89,38,)&lt;&gt;0,HLOOKUP(I$6,CHARMS!$A$6:$CQ$89,38,),"")</f>
        <v>No information</v>
      </c>
      <c r="J67" s="111" t="str">
        <f>IF(HLOOKUP(J$6,CHARMS!$A$6:$CQ$89,38,)&lt;&gt;0,HLOOKUP(J$6,CHARMS!$A$6:$CQ$89,38,),"")</f>
        <v>No information</v>
      </c>
      <c r="K67" s="111" t="str">
        <f>IF(HLOOKUP(K$6,CHARMS!$A$6:$CQ$89,38,)&lt;&gt;0,HLOOKUP(K$6,CHARMS!$A$6:$CQ$89,38,),"")</f>
        <v>No information</v>
      </c>
      <c r="L67" s="111" t="str">
        <f>IF(HLOOKUP(L$6,CHARMS!$A$6:$CQ$89,38,)&lt;&gt;0,HLOOKUP(L$6,CHARMS!$A$6:$CQ$89,38,),"")</f>
        <v>No information</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325</v>
      </c>
      <c r="B68" s="111">
        <f>IF(HLOOKUP(B$6,CHARMS!$A$6:$CQ$89,45,)&lt;&gt;0,HLOOKUP(B$6,CHARMS!$A$6:$CQ$89,45,),"")</f>
        <v>98</v>
      </c>
      <c r="C68" s="111">
        <f>IF(HLOOKUP(C$6,CHARMS!$A$6:$CQ$89,45,)&lt;&gt;0,HLOOKUP(C$6,CHARMS!$A$6:$CQ$89,45,),"")</f>
        <v>22</v>
      </c>
      <c r="D68" s="111" t="str">
        <f>IF(HLOOKUP(D$6,CHARMS!$A$6:$CQ$89,45,)&lt;&gt;0,HLOOKUP(D$6,CHARMS!$A$6:$CQ$89,45,),"")</f>
        <v>No information</v>
      </c>
      <c r="E68" s="111" t="str">
        <f>IF(HLOOKUP(E$6,CHARMS!$A$6:$CQ$89,45,)&lt;&gt;0,HLOOKUP(E$6,CHARMS!$A$6:$CQ$89,45,),"")</f>
        <v>No information</v>
      </c>
      <c r="F68" s="111" t="e">
        <f>IF(HLOOKUP(F$6,CHARMS!$A$6:$CQ$89,45,)&lt;&gt;0,HLOOKUP(F$6,CHARMS!$A$6:$CQ$89,45,),"")</f>
        <v>#REF!</v>
      </c>
      <c r="G68" s="111" t="str">
        <f>IF(HLOOKUP(G$6,CHARMS!$A$6:$CQ$89,45,)&lt;&gt;0,HLOOKUP(G$6,CHARMS!$A$6:$CQ$89,45,),"")</f>
        <v>No information</v>
      </c>
      <c r="H68" s="111" t="str">
        <f>IF(HLOOKUP(H$6,CHARMS!$A$6:$CQ$89,45,)&lt;&gt;0,HLOOKUP(H$6,CHARMS!$A$6:$CQ$89,45,),"")</f>
        <v>No information</v>
      </c>
      <c r="I68" s="111">
        <f>IF(HLOOKUP(I$6,CHARMS!$A$6:$CQ$89,45,)&lt;&gt;0,HLOOKUP(I$6,CHARMS!$A$6:$CQ$89,45,),"")</f>
        <v>45</v>
      </c>
      <c r="J68" s="111" t="str">
        <f>IF(HLOOKUP(J$6,CHARMS!$A$6:$CQ$89,45,)&lt;&gt;0,HLOOKUP(J$6,CHARMS!$A$6:$CQ$89,45,),"")</f>
        <v>No information</v>
      </c>
      <c r="K68" s="111">
        <f>IF(HLOOKUP(K$6,CHARMS!$A$6:$CQ$89,45,)&lt;&gt;0,HLOOKUP(K$6,CHARMS!$A$6:$CQ$89,45,),"")</f>
        <v>4</v>
      </c>
      <c r="L68" s="111">
        <f>IF(HLOOKUP(L$6,CHARMS!$A$6:$CQ$89,45,)&lt;&gt;0,HLOOKUP(L$6,CHARMS!$A$6:$CQ$89,45,),"")</f>
        <v>4</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326</v>
      </c>
      <c r="B69" s="111" t="str">
        <f>IF(HLOOKUP(B$6,CHARMS!$A$6:$CQ$89,46,)&lt;&gt;0,HLOOKUP(B$6,CHARMS!$A$6:$CQ$89,46,),"")</f>
        <v>No information</v>
      </c>
      <c r="C69" s="111" t="str">
        <f>IF(HLOOKUP(C$6,CHARMS!$A$6:$CQ$89,46,)&lt;&gt;0,HLOOKUP(C$6,CHARMS!$A$6:$CQ$89,46,),"")</f>
        <v>No information</v>
      </c>
      <c r="D69" s="111" t="str">
        <f>IF(HLOOKUP(D$6,CHARMS!$A$6:$CQ$89,46,)&lt;&gt;0,HLOOKUP(D$6,CHARMS!$A$6:$CQ$89,46,),"")</f>
        <v>No information</v>
      </c>
      <c r="E69" s="111" t="str">
        <f>IF(HLOOKUP(E$6,CHARMS!$A$6:$CQ$89,46,)&lt;&gt;0,HLOOKUP(E$6,CHARMS!$A$6:$CQ$89,46,),"")</f>
        <v>No information</v>
      </c>
      <c r="F69" s="111" t="e">
        <f>IF(HLOOKUP(F$6,CHARMS!$A$6:$CQ$89,46,)&lt;&gt;0,HLOOKUP(F$6,CHARMS!$A$6:$CQ$89,46,),"")</f>
        <v>#REF!</v>
      </c>
      <c r="G69" s="111" t="str">
        <f>IF(HLOOKUP(G$6,CHARMS!$A$6:$CQ$89,46,)&lt;&gt;0,HLOOKUP(G$6,CHARMS!$A$6:$CQ$89,46,),"")</f>
        <v>No information</v>
      </c>
      <c r="H69" s="111" t="str">
        <f>IF(HLOOKUP(H$6,CHARMS!$A$6:$CQ$89,46,)&lt;&gt;0,HLOOKUP(H$6,CHARMS!$A$6:$CQ$89,46,),"")</f>
        <v>No information</v>
      </c>
      <c r="I69" s="111" t="str">
        <f>IF(HLOOKUP(I$6,CHARMS!$A$6:$CQ$89,46,)&lt;&gt;0,HLOOKUP(I$6,CHARMS!$A$6:$CQ$89,46,),"")</f>
        <v>No information</v>
      </c>
      <c r="J69" s="111" t="str">
        <f>IF(HLOOKUP(J$6,CHARMS!$A$6:$CQ$89,46,)&lt;&gt;0,HLOOKUP(J$6,CHARMS!$A$6:$CQ$89,46,),"")</f>
        <v>No information</v>
      </c>
      <c r="K69" s="111" t="str">
        <f>IF(HLOOKUP(K$6,CHARMS!$A$6:$CQ$89,46,)&lt;&gt;0,HLOOKUP(K$6,CHARMS!$A$6:$CQ$89,46,),"")</f>
        <v>Complete-case analysis</v>
      </c>
      <c r="L69" s="111" t="str">
        <f>IF(HLOOKUP(L$6,CHARMS!$A$6:$CQ$89,46,)&lt;&gt;0,HLOOKUP(L$6,CHARMS!$A$6:$CQ$89,46,),"")</f>
        <v>Complete-case analysis</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327</v>
      </c>
      <c r="B70" s="111" t="str">
        <f>IF(HLOOKUP(B$6,CHARMS!$A$6:$CQ$89,49,)&lt;&gt;0,HLOOKUP(B$6,CHARMS!$A$6:$CQ$89,49,),"")</f>
        <v>Based on univariable associations</v>
      </c>
      <c r="C70" s="111" t="str">
        <f>IF(HLOOKUP(C$6,CHARMS!$A$6:$CQ$89,49,)&lt;&gt;0,HLOOKUP(C$6,CHARMS!$A$6:$CQ$89,49,),"")</f>
        <v>Based on univariable associations</v>
      </c>
      <c r="D70" s="111" t="str">
        <f>IF(HLOOKUP(D$6,CHARMS!$A$6:$CQ$89,49,)&lt;&gt;0,HLOOKUP(D$6,CHARMS!$A$6:$CQ$89,49,),"")</f>
        <v>Based on univariable associations</v>
      </c>
      <c r="E70" s="111" t="str">
        <f>IF(HLOOKUP(E$6,CHARMS!$A$6:$CQ$89,49,)&lt;&gt;0,HLOOKUP(E$6,CHARMS!$A$6:$CQ$89,49,),"")</f>
        <v>Based on univariable associations</v>
      </c>
      <c r="F70" s="111" t="e">
        <f>IF(HLOOKUP(F$6,CHARMS!$A$6:$CQ$89,49,)&lt;&gt;0,HLOOKUP(F$6,CHARMS!$A$6:$CQ$89,49,),"")</f>
        <v>#REF!</v>
      </c>
      <c r="G70" s="111" t="str">
        <f>IF(HLOOKUP(G$6,CHARMS!$A$6:$CQ$89,49,)&lt;&gt;0,HLOOKUP(G$6,CHARMS!$A$6:$CQ$89,49,),"")</f>
        <v>Based on univariable associations</v>
      </c>
      <c r="H70" s="111" t="str">
        <f>IF(HLOOKUP(H$6,CHARMS!$A$6:$CQ$89,49,)&lt;&gt;0,HLOOKUP(H$6,CHARMS!$A$6:$CQ$89,49,),"")</f>
        <v>Based on univariable associations</v>
      </c>
      <c r="I70" s="111" t="str">
        <f>IF(HLOOKUP(I$6,CHARMS!$A$6:$CQ$89,49,)&lt;&gt;0,HLOOKUP(I$6,CHARMS!$A$6:$CQ$89,49,),"")</f>
        <v>Based on univariable associations</v>
      </c>
      <c r="J70" s="111" t="str">
        <f>IF(HLOOKUP(J$6,CHARMS!$A$6:$CQ$89,49,)&lt;&gt;0,HLOOKUP(J$6,CHARMS!$A$6:$CQ$89,49,),"")</f>
        <v>Based on univariable associations and clinical relevance</v>
      </c>
      <c r="K70" s="111" t="str">
        <f>IF(HLOOKUP(K$6,CHARMS!$A$6:$CQ$89,49,)&lt;&gt;0,HLOOKUP(K$6,CHARMS!$A$6:$CQ$89,49,),"")</f>
        <v>Based on prior knowledge</v>
      </c>
      <c r="L70" s="111" t="str">
        <f>IF(HLOOKUP(L$6,CHARMS!$A$6:$CQ$89,49,)&lt;&gt;0,HLOOKUP(L$6,CHARMS!$A$6:$CQ$89,49,),"")</f>
        <v>Based on prior knowledge</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328</v>
      </c>
      <c r="B71" s="111" t="str">
        <f>IF(HLOOKUP(B$6,CHARMS!$A$6:$CQ$89,72,)&lt;&gt;0,CONCATENATE("Internal: ",CHAR(10),HLOOKUP(B$6,CHARMS!$A$6:$CQ$89,72,)),"")</f>
        <v>Internal: 
No</v>
      </c>
      <c r="C71" s="111" t="str">
        <f>IF(HLOOKUP(C$6,CHARMS!$A$6:$CQ$89,72,)&lt;&gt;0,CONCATENATE("Internal: ",CHAR(10),HLOOKUP(C$6,CHARMS!$A$6:$CQ$89,72,)),"")</f>
        <v>Internal: 
No</v>
      </c>
      <c r="D71" s="111" t="str">
        <f>IF(HLOOKUP(D$6,CHARMS!$A$6:$CQ$89,72,)&lt;&gt;0,CONCATENATE("Internal: ",CHAR(10),HLOOKUP(D$6,CHARMS!$A$6:$CQ$89,72,)),"")</f>
        <v>Internal: 
No</v>
      </c>
      <c r="E71" s="111" t="str">
        <f>IF(HLOOKUP(E$6,CHARMS!$A$6:$CQ$89,72,)&lt;&gt;0,CONCATENATE("Internal: ",CHAR(10),HLOOKUP(E$6,CHARMS!$A$6:$CQ$89,72,)),"")</f>
        <v>Internal: 
No</v>
      </c>
      <c r="F71" s="111" t="e">
        <f>IF(HLOOKUP(F$6,CHARMS!$A$6:$CQ$89,72,)&lt;&gt;0,CONCATENATE("Internal: ",CHAR(10),HLOOKUP(F$6,CHARMS!$A$6:$CQ$89,72,)),"")</f>
        <v>#REF!</v>
      </c>
      <c r="G71" s="111" t="str">
        <f>IF(HLOOKUP(G$6,CHARMS!$A$6:$CQ$89,72,)&lt;&gt;0,CONCATENATE("Internal: ",CHAR(10),HLOOKUP(G$6,CHARMS!$A$6:$CQ$89,72,)),"")</f>
        <v>Internal: 
No</v>
      </c>
      <c r="H71" s="111" t="str">
        <f>IF(HLOOKUP(H$6,CHARMS!$A$6:$CQ$89,72,)&lt;&gt;0,CONCATENATE("Internal: ",CHAR(10),HLOOKUP(H$6,CHARMS!$A$6:$CQ$89,72,)),"")</f>
        <v>Internal: 
No</v>
      </c>
      <c r="I71" s="111" t="str">
        <f>IF(HLOOKUP(I$6,CHARMS!$A$6:$CQ$89,72,)&lt;&gt;0,CONCATENATE("Internal: ",CHAR(10),HLOOKUP(I$6,CHARMS!$A$6:$CQ$89,72,)),"")</f>
        <v>Internal: 
No</v>
      </c>
      <c r="J71" s="111" t="str">
        <f>IF(HLOOKUP(J$6,CHARMS!$A$6:$CQ$89,72,)&lt;&gt;0,CONCATENATE("Internal: ",CHAR(10),HLOOKUP(J$6,CHARMS!$A$6:$CQ$89,72,)),"")</f>
        <v>Internal: 
No</v>
      </c>
      <c r="K71" s="111" t="str">
        <f>IF(HLOOKUP(K$6,CHARMS!$A$6:$CQ$89,72,)&lt;&gt;0,CONCATENATE("Internal: ",CHAR(10),HLOOKUP(K$6,CHARMS!$A$6:$CQ$89,72,)),"")</f>
        <v>Internal: 
No</v>
      </c>
      <c r="L71" s="111" t="str">
        <f>IF(HLOOKUP(L$6,CHARMS!$A$6:$CQ$89,72,)&lt;&gt;0,CONCATENATE("Internal: ",CHAR(10),HLOOKUP(L$6,CHARMS!$A$6:$CQ$89,72,)),"")</f>
        <v>Internal: 
No</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External: 
1</v>
      </c>
      <c r="C72" s="111" t="str">
        <f>IF(HLOOKUP(C$6,CHARMS!$A$6:$CQ$89,73,)&lt;&gt;0,CONCATENATE("External: ",CHAR(10),HLOOKUP(C$6,CHARMS!$A$6:$CQ$89,73,)),"")</f>
        <v>External: 
1</v>
      </c>
      <c r="D72" s="111" t="str">
        <f>IF(HLOOKUP(D$6,CHARMS!$A$6:$CQ$89,73,)&lt;&gt;0,CONCATENATE("External: ",CHAR(10),HLOOKUP(D$6,CHARMS!$A$6:$CQ$89,73,)),"")</f>
        <v>External: 
1</v>
      </c>
      <c r="E72" s="111" t="str">
        <f>IF(HLOOKUP(E$6,CHARMS!$A$6:$CQ$89,73,)&lt;&gt;0,CONCATENATE("External: ",CHAR(10),HLOOKUP(E$6,CHARMS!$A$6:$CQ$89,73,)),"")</f>
        <v>External: 
1</v>
      </c>
      <c r="F72" s="111" t="e">
        <f>IF(HLOOKUP(F$6,CHARMS!$A$6:$CQ$89,73,)&lt;&gt;0,CONCATENATE("External: ",CHAR(10),HLOOKUP(F$6,CHARMS!$A$6:$CQ$89,73,)),"")</f>
        <v>#REF!</v>
      </c>
      <c r="G72" s="111" t="str">
        <f>IF(HLOOKUP(G$6,CHARMS!$A$6:$CQ$89,73,)&lt;&gt;0,CONCATENATE("External: ",CHAR(10),HLOOKUP(G$6,CHARMS!$A$6:$CQ$89,73,)),"")</f>
        <v>External: 
1</v>
      </c>
      <c r="H72" s="111" t="str">
        <f>IF(HLOOKUP(H$6,CHARMS!$A$6:$CQ$89,73,)&lt;&gt;0,CONCATENATE("External: ",CHAR(10),HLOOKUP(H$6,CHARMS!$A$6:$CQ$89,73,)),"")</f>
        <v>External: 
1</v>
      </c>
      <c r="I72" s="111" t="str">
        <f>IF(HLOOKUP(I$6,CHARMS!$A$6:$CQ$89,73,)&lt;&gt;0,CONCATENATE("External: ",CHAR(10),HLOOKUP(I$6,CHARMS!$A$6:$CQ$89,73,)),"")</f>
        <v>External: 
1</v>
      </c>
      <c r="J72" s="111" t="str">
        <f>IF(HLOOKUP(J$6,CHARMS!$A$6:$CQ$89,73,)&lt;&gt;0,CONCATENATE("External: ",CHAR(10),HLOOKUP(J$6,CHARMS!$A$6:$CQ$89,73,)),"")</f>
        <v>External: 
1</v>
      </c>
      <c r="K72" s="111" t="str">
        <f>IF(HLOOKUP(K$6,CHARMS!$A$6:$CQ$89,73,)&lt;&gt;0,CONCATENATE("External: ",CHAR(10),HLOOKUP(K$6,CHARMS!$A$6:$CQ$89,73,)),"")</f>
        <v>External: 
1</v>
      </c>
      <c r="L72" s="111" t="str">
        <f>IF(HLOOKUP(L$6,CHARMS!$A$6:$CQ$89,73,)&lt;&gt;0,CONCATENATE("External: ",CHAR(10),HLOOKUP(L$6,CHARMS!$A$6:$CQ$89,73,)),"")</f>
        <v>External: 
1</v>
      </c>
      <c r="M72" s="111" t="str">
        <f>IF(HLOOKUP(M$6,CHARMS!$A$6:$CQ$89,73,)&lt;&gt;0,CONCATENATE("External: ",CHAR(10),HLOOKUP(M$6,CHARMS!$A$6:$CQ$89,73,)),"")</f>
        <v/>
      </c>
      <c r="N72" s="111" t="str">
        <f>IF(HLOOKUP(N$6,CHARMS!$A$6:$CQ$89,73,)&lt;&gt;0,CONCATENATE("External: ",CHAR(10),HLOOKUP(N$6,CHARMS!$A$6:$CQ$89,73,)),"")</f>
        <v/>
      </c>
      <c r="O72" s="111" t="str">
        <f>IF(HLOOKUP(O$6,CHARMS!$A$6:$CQ$89,73,)&lt;&gt;0,CONCATENATE("External: ",CHAR(10),HLOOKUP(O$6,CHARMS!$A$6:$CQ$89,73,)),"")</f>
        <v/>
      </c>
      <c r="P72" s="111" t="str">
        <f>IF(HLOOKUP(P$6,CHARMS!$A$6:$CQ$89,73,)&lt;&gt;0,CONCATENATE("External: ",CHAR(10),HLOOKUP(P$6,CHARMS!$A$6:$CQ$89,73,)),"")</f>
        <v/>
      </c>
      <c r="Q72" s="111" t="str">
        <f>IF(HLOOKUP(Q$6,CHARMS!$A$6:$CQ$89,73,)&lt;&gt;0,CONCATENATE("External: ",CHAR(10),HLOOKUP(Q$6,CHARMS!$A$6:$CQ$89,73,)),"")</f>
        <v/>
      </c>
      <c r="R72" s="111" t="str">
        <f>IF(HLOOKUP(R$6,CHARMS!$A$6:$CQ$89,73,)&lt;&gt;0,CONCATENATE("External: ",CHAR(10),HLOOKUP(R$6,CHARMS!$A$6:$CQ$89,73,)),"")</f>
        <v/>
      </c>
      <c r="S72" s="111" t="str">
        <f>IF(HLOOKUP(S$6,CHARMS!$A$6:$CQ$89,73,)&lt;&gt;0,CONCATENATE("External: ",CHAR(10),HLOOKUP(S$6,CHARMS!$A$6:$CQ$89,73,)),"")</f>
        <v/>
      </c>
      <c r="T72" s="111" t="str">
        <f>IF(HLOOKUP(T$6,CHARMS!$A$6:$CQ$89,73,)&lt;&gt;0,CONCATENATE("External: ",CHAR(10),HLOOKUP(T$6,CHARMS!$A$6:$CQ$89,73,)),"")</f>
        <v/>
      </c>
      <c r="U72" s="111" t="str">
        <f>IF(HLOOKUP(U$6,CHARMS!$A$6:$CQ$89,73,)&lt;&gt;0,CONCATENATE("External: ",CHAR(10),HLOOKUP(U$6,CHARMS!$A$6:$CQ$89,73,)),"")</f>
        <v/>
      </c>
      <c r="V72" s="111" t="str">
        <f>IF(HLOOKUP(V$6,CHARMS!$A$6:$CQ$89,73,)&lt;&gt;0,CONCATENATE("External: ",CHAR(10),HLOOKUP(V$6,CHARMS!$A$6:$CQ$89,73,)),"")</f>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329</v>
      </c>
      <c r="B73" s="111" t="str">
        <f>IF(HLOOKUP(B$6,CHARMS!$A$6:$CQ$89,53,)&lt;&gt;"",CONCATENATE("Calibration: ",CHAR(10),HLOOKUP(B$6,CHARMS!$A$6:$CQ$89,53,)),"")</f>
        <v xml:space="preserve">Calibration: 
Calibration plot </v>
      </c>
      <c r="C73" s="111" t="str">
        <f>IF(HLOOKUP(C$6,CHARMS!$A$6:$CQ$89,53,)&lt;&gt;"",CONCATENATE("Calibration: ",CHAR(10),HLOOKUP(C$6,CHARMS!$A$6:$CQ$89,53,)),"")</f>
        <v xml:space="preserve">Calibration: 
HL test </v>
      </c>
      <c r="D73" s="111" t="str">
        <f>IF(HLOOKUP(D$6,CHARMS!$A$6:$CQ$89,53,)&lt;&gt;"",CONCATENATE("Calibration: ",CHAR(10),HLOOKUP(D$6,CHARMS!$A$6:$CQ$89,53,)),"")</f>
        <v xml:space="preserve">Calibration: 
HL test </v>
      </c>
      <c r="E73" s="111" t="str">
        <f>IF(HLOOKUP(E$6,CHARMS!$A$6:$CQ$89,53,)&lt;&gt;"",CONCATENATE("Calibration: ",CHAR(10),HLOOKUP(E$6,CHARMS!$A$6:$CQ$89,53,)),"")</f>
        <v xml:space="preserve">Calibration: 
Calibration plot / Slope / CITL / HL test </v>
      </c>
      <c r="F73" s="111" t="e">
        <f>IF(HLOOKUP(F$6,CHARMS!$A$6:$CQ$89,53,)&lt;&gt;"",CONCATENATE("Calibration: ",CHAR(10),HLOOKUP(F$6,CHARMS!$A$6:$CQ$89,53,)),"")</f>
        <v>#REF!</v>
      </c>
      <c r="G73" s="111" t="str">
        <f>IF(HLOOKUP(G$6,CHARMS!$A$6:$CQ$89,53,)&lt;&gt;"",CONCATENATE("Calibration: ",CHAR(10),HLOOKUP(G$6,CHARMS!$A$6:$CQ$89,53,)),"")</f>
        <v xml:space="preserve">Calibration: 
HL test </v>
      </c>
      <c r="H73" s="111" t="str">
        <f>IF(HLOOKUP(H$6,CHARMS!$A$6:$CQ$89,53,)&lt;&gt;"",CONCATENATE("Calibration: ",CHAR(10),HLOOKUP(H$6,CHARMS!$A$6:$CQ$89,53,)),"")</f>
        <v>Calibration: 
Comparison of actual CITL and slope with the ideal values</v>
      </c>
      <c r="I73" s="111" t="str">
        <f>IF(HLOOKUP(I$6,CHARMS!$A$6:$CQ$89,53,)&lt;&gt;"",CONCATENATE("Calibration: ",CHAR(10),HLOOKUP(I$6,CHARMS!$A$6:$CQ$89,53,)),"")</f>
        <v xml:space="preserve">Calibration: 
HL test </v>
      </c>
      <c r="J73" s="111" t="str">
        <f>IF(HLOOKUP(J$6,CHARMS!$A$6:$CQ$89,53,)&lt;&gt;"",CONCATENATE("Calibration: ",CHAR(10),HLOOKUP(J$6,CHARMS!$A$6:$CQ$89,53,)),"")</f>
        <v xml:space="preserve">Calibration: 
Calibration plot / HL test </v>
      </c>
      <c r="K73" s="111" t="str">
        <f>IF(HLOOKUP(K$6,CHARMS!$A$6:$CQ$89,53,)&lt;&gt;"",CONCATENATE("Calibration: ",CHAR(10),HLOOKUP(K$6,CHARMS!$A$6:$CQ$89,53,)),"")</f>
        <v xml:space="preserve">Calibration: 
Calibration plot / Slope / CITL </v>
      </c>
      <c r="L73" s="111" t="str">
        <f>IF(HLOOKUP(L$6,CHARMS!$A$6:$CQ$89,53,)&lt;&gt;"",CONCATENATE("Calibration: ",CHAR(10),HLOOKUP(L$6,CHARMS!$A$6:$CQ$89,53,)),"")</f>
        <v xml:space="preserve">Calibration: 
Calibration plot / Slope / CITL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xml:space="preserve">Discrimination: 
C-Statistic </v>
      </c>
      <c r="C74" s="111" t="str">
        <f>IF(HLOOKUP(C$6,CHARMS!$A$6:$CQ$89,59,)&lt;&gt;"",CONCATENATE("Discrimination: ",CHAR(10),HLOOKUP(C$6,CHARMS!$A$6:$CQ$89,59,)),"")</f>
        <v xml:space="preserve">Discrimination: 
C-Statistic / AUC graph </v>
      </c>
      <c r="D74" s="111" t="str">
        <f>IF(HLOOKUP(D$6,CHARMS!$A$6:$CQ$89,59,)&lt;&gt;"",CONCATENATE("Discrimination: ",CHAR(10),HLOOKUP(D$6,CHARMS!$A$6:$CQ$89,59,)),"")</f>
        <v xml:space="preserve">Discrimination: 
C-Statistic / AUC graph </v>
      </c>
      <c r="E74" s="111" t="str">
        <f>IF(HLOOKUP(E$6,CHARMS!$A$6:$CQ$89,59,)&lt;&gt;"",CONCATENATE("Discrimination: ",CHAR(10),HLOOKUP(E$6,CHARMS!$A$6:$CQ$89,59,)),"")</f>
        <v xml:space="preserve">Discrimination: 
C-Statistic / AUC graph </v>
      </c>
      <c r="F74" s="111" t="e">
        <f>IF(HLOOKUP(F$6,CHARMS!$A$6:$CQ$89,59,)&lt;&gt;"",CONCATENATE("Discrimination: ",CHAR(10),HLOOKUP(F$6,CHARMS!$A$6:$CQ$89,59,)),"")</f>
        <v>#REF!</v>
      </c>
      <c r="G74" s="111" t="str">
        <f>IF(HLOOKUP(G$6,CHARMS!$A$6:$CQ$89,59,)&lt;&gt;"",CONCATENATE("Discrimination: ",CHAR(10),HLOOKUP(G$6,CHARMS!$A$6:$CQ$89,59,)),"")</f>
        <v xml:space="preserve">Discrimination: 
C-Statistic / AUC graph </v>
      </c>
      <c r="H74" s="111" t="str">
        <f>IF(HLOOKUP(H$6,CHARMS!$A$6:$CQ$89,59,)&lt;&gt;"",CONCATENATE("Discrimination: ",CHAR(10),HLOOKUP(H$6,CHARMS!$A$6:$CQ$89,59,)),"")</f>
        <v xml:space="preserve">Discrimination: 
C-Statistic / AUC graph </v>
      </c>
      <c r="I74" s="111" t="str">
        <f>IF(HLOOKUP(I$6,CHARMS!$A$6:$CQ$89,59,)&lt;&gt;"",CONCATENATE("Discrimination: ",CHAR(10),HLOOKUP(I$6,CHARMS!$A$6:$CQ$89,59,)),"")</f>
        <v xml:space="preserve">Discrimination: 
C-Statistic / AUC graph </v>
      </c>
      <c r="J74" s="111" t="str">
        <f>IF(HLOOKUP(J$6,CHARMS!$A$6:$CQ$89,59,)&lt;&gt;"",CONCATENATE("Discrimination: ",CHAR(10),HLOOKUP(J$6,CHARMS!$A$6:$CQ$89,59,)),"")</f>
        <v xml:space="preserve">Discrimination: 
C-Statistic / AUC graph </v>
      </c>
      <c r="K74" s="111" t="str">
        <f>IF(HLOOKUP(K$6,CHARMS!$A$6:$CQ$89,59,)&lt;&gt;"",CONCATENATE("Discrimination: ",CHAR(10),HLOOKUP(K$6,CHARMS!$A$6:$CQ$89,59,)),"")</f>
        <v xml:space="preserve">Discrimination: 
C-Statistic / AUC graph </v>
      </c>
      <c r="L74" s="111" t="str">
        <f>IF(HLOOKUP(L$6,CHARMS!$A$6:$CQ$89,59,)&lt;&gt;"",CONCATENATE("Discrimination: ",CHAR(10),HLOOKUP(L$6,CHARMS!$A$6:$CQ$89,59,)),"")</f>
        <v xml:space="preserve">Discrimination: 
C-Statistic / AUC graph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Overall: 
Not evaluated</v>
      </c>
      <c r="C75" s="111" t="str">
        <f>IF(HLOOKUP(C$6,CHARMS!$A$6:$CQ$89,66,)&lt;&gt;"",CONCATENATE("Overall: ",CHAR(10),HLOOKUP(C$6,CHARMS!$A$6:$CQ$89,66,)),"")</f>
        <v>Overall: 
Not evaluated</v>
      </c>
      <c r="D75" s="111" t="str">
        <f>IF(HLOOKUP(D$6,CHARMS!$A$6:$CQ$89,66,)&lt;&gt;"",CONCATENATE("Overall: ",CHAR(10),HLOOKUP(D$6,CHARMS!$A$6:$CQ$89,66,)),"")</f>
        <v>Overall: 
Not evaluated</v>
      </c>
      <c r="E75" s="111" t="str">
        <f>IF(HLOOKUP(E$6,CHARMS!$A$6:$CQ$89,66,)&lt;&gt;"",CONCATENATE("Overall: ",CHAR(10),HLOOKUP(E$6,CHARMS!$A$6:$CQ$89,66,)),"")</f>
        <v xml:space="preserve">Overall: 
Brier score </v>
      </c>
      <c r="F75" s="111" t="e">
        <f>IF(HLOOKUP(F$6,CHARMS!$A$6:$CQ$89,66,)&lt;&gt;"",CONCATENATE("Overall: ",CHAR(10),HLOOKUP(F$6,CHARMS!$A$6:$CQ$89,66,)),"")</f>
        <v>#REF!</v>
      </c>
      <c r="G75" s="111" t="str">
        <f>IF(HLOOKUP(G$6,CHARMS!$A$6:$CQ$89,66,)&lt;&gt;"",CONCATENATE("Overall: ",CHAR(10),HLOOKUP(G$6,CHARMS!$A$6:$CQ$89,66,)),"")</f>
        <v>Overall: 
Not evaluated</v>
      </c>
      <c r="H75" s="111" t="str">
        <f>IF(HLOOKUP(H$6,CHARMS!$A$6:$CQ$89,66,)&lt;&gt;"",CONCATENATE("Overall: ",CHAR(10),HLOOKUP(H$6,CHARMS!$A$6:$CQ$89,66,)),"")</f>
        <v xml:space="preserve">Overall: 
Brier score </v>
      </c>
      <c r="I75" s="111" t="str">
        <f>IF(HLOOKUP(I$6,CHARMS!$A$6:$CQ$89,66,)&lt;&gt;"",CONCATENATE("Overall: ",CHAR(10),HLOOKUP(I$6,CHARMS!$A$6:$CQ$89,66,)),"")</f>
        <v>Overall: 
Not evaluated</v>
      </c>
      <c r="J75" s="111" t="str">
        <f>IF(HLOOKUP(J$6,CHARMS!$A$6:$CQ$89,66,)&lt;&gt;"",CONCATENATE("Overall: ",CHAR(10),HLOOKUP(J$6,CHARMS!$A$6:$CQ$89,66,)),"")</f>
        <v>Overall: 
Not evaluated</v>
      </c>
      <c r="K75" s="111" t="str">
        <f>IF(HLOOKUP(K$6,CHARMS!$A$6:$CQ$89,66,)&lt;&gt;"",CONCATENATE("Overall: ",CHAR(10),HLOOKUP(K$6,CHARMS!$A$6:$CQ$89,66,)),"")</f>
        <v xml:space="preserve">Overall: 
Brier score </v>
      </c>
      <c r="L75" s="111" t="str">
        <f>IF(HLOOKUP(L$6,CHARMS!$A$6:$CQ$89,66,)&lt;&gt;"",CONCATENATE("Overall: ",CHAR(10),HLOOKUP(L$6,CHARMS!$A$6:$CQ$89,66,)),"")</f>
        <v xml:space="preserve">Overall: 
Brier score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330</v>
      </c>
      <c r="B76" s="113" t="str">
        <f>IF(HLOOKUP(B$6,CHARMS!$A$6:$CQ$89,51,)&lt;&gt;0,HLOOKUP(B$6,CHARMS!$A$6:$CQ$89,51,),"")</f>
        <v>No</v>
      </c>
      <c r="C76" s="113" t="str">
        <f>IF(HLOOKUP(C$6,CHARMS!$A$6:$CQ$89,51,)&lt;&gt;0,HLOOKUP(C$6,CHARMS!$A$6:$CQ$89,51,),"")</f>
        <v>No</v>
      </c>
      <c r="D76" s="113" t="str">
        <f>IF(HLOOKUP(D$6,CHARMS!$A$6:$CQ$89,51,)&lt;&gt;0,HLOOKUP(D$6,CHARMS!$A$6:$CQ$89,51,),"")</f>
        <v>No</v>
      </c>
      <c r="E76" s="113" t="str">
        <f>IF(HLOOKUP(E$6,CHARMS!$A$6:$CQ$89,51,)&lt;&gt;0,HLOOKUP(E$6,CHARMS!$A$6:$CQ$89,51,),"")</f>
        <v>No</v>
      </c>
      <c r="F76" s="113" t="e">
        <f>IF(HLOOKUP(F$6,CHARMS!$A$6:$CQ$89,51,)&lt;&gt;0,HLOOKUP(F$6,CHARMS!$A$6:$CQ$89,51,),"")</f>
        <v>#REF!</v>
      </c>
      <c r="G76" s="113" t="str">
        <f>IF(HLOOKUP(G$6,CHARMS!$A$6:$CQ$89,51,)&lt;&gt;0,HLOOKUP(G$6,CHARMS!$A$6:$CQ$89,51,),"")</f>
        <v>No</v>
      </c>
      <c r="H76" s="113" t="str">
        <f>IF(HLOOKUP(H$6,CHARMS!$A$6:$CQ$89,51,)&lt;&gt;0,HLOOKUP(H$6,CHARMS!$A$6:$CQ$89,51,),"")</f>
        <v>No</v>
      </c>
      <c r="I76" s="113" t="str">
        <f>IF(HLOOKUP(I$6,CHARMS!$A$6:$CQ$89,51,)&lt;&gt;0,HLOOKUP(I$6,CHARMS!$A$6:$CQ$89,51,),"")</f>
        <v>No</v>
      </c>
      <c r="J76" s="113" t="str">
        <f>IF(HLOOKUP(J$6,CHARMS!$A$6:$CQ$89,51,)&lt;&gt;0,HLOOKUP(J$6,CHARMS!$A$6:$CQ$89,51,),"")</f>
        <v>No</v>
      </c>
      <c r="K76" s="113" t="str">
        <f>IF(HLOOKUP(K$6,CHARMS!$A$6:$CQ$89,51,)&lt;&gt;0,HLOOKUP(K$6,CHARMS!$A$6:$CQ$89,51,),"")</f>
        <v>No</v>
      </c>
      <c r="L76" s="113" t="str">
        <f>IF(HLOOKUP(L$6,CHARMS!$A$6:$CQ$89,51,)&lt;&gt;0,HLOOKUP(L$6,CHARMS!$A$6:$CQ$89,51,),"")</f>
        <v>No</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280</v>
      </c>
      <c r="B77" s="31" t="s">
        <v>331</v>
      </c>
      <c r="C77" s="31" t="s">
        <v>332</v>
      </c>
      <c r="D77" s="31" t="s">
        <v>333</v>
      </c>
      <c r="E77" s="31" t="s">
        <v>334</v>
      </c>
      <c r="F77" s="31" t="s">
        <v>335</v>
      </c>
      <c r="G77" s="31" t="s">
        <v>335</v>
      </c>
      <c r="H77" s="31" t="s">
        <v>336</v>
      </c>
      <c r="I77" s="31" t="s">
        <v>335</v>
      </c>
      <c r="J77" s="31" t="s">
        <v>337</v>
      </c>
      <c r="K77" s="31" t="s">
        <v>338</v>
      </c>
      <c r="L77" s="31" t="s">
        <v>338</v>
      </c>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e">
        <f>IF(B8="","NA",COUNTBLANK(B8:B12)+COUNTBLANK(B14)+COUNTBLANK(B33:B77)+COUNTBLANK(#REF!)+COUNTBLANK(#REF!)+COUNTBLANK(#REF!)+COUNTBLANK(#REF!)+COUNTBLANK(#REF!)+COUNTBLANK(#REF!)+COUNTBLANK(#REF!)+COUNTBLANK(#REF!)+COUNTBLANK(#REF!))</f>
        <v>#REF!</v>
      </c>
    </row>
  </sheetData>
  <sheetProtection password="8015" sheet="1" selectLockedCells="1"/>
  <phoneticPr fontId="5" type="noConversion"/>
  <conditionalFormatting sqref="B14:AE15">
    <cfRule type="expression" dxfId="124" priority="52">
      <formula>B14=""</formula>
    </cfRule>
  </conditionalFormatting>
  <conditionalFormatting sqref="B16:AE17">
    <cfRule type="containsText" dxfId="123" priority="36" operator="containsText" text="Unclear">
      <formula>NOT(ISERROR(SEARCH("Unclear",B16)))</formula>
    </cfRule>
    <cfRule type="containsText" dxfId="122" priority="37" operator="containsText" text="High">
      <formula>NOT(ISERROR(SEARCH("High",B16)))</formula>
    </cfRule>
    <cfRule type="containsText" dxfId="121" priority="38" operator="containsText" text="Low">
      <formula>NOT(ISERROR(SEARCH("Low",B16)))</formula>
    </cfRule>
    <cfRule type="expression" dxfId="120" priority="48">
      <formula>AND(B$14&lt;&gt;"",B$15&lt;&gt;"")</formula>
    </cfRule>
  </conditionalFormatting>
  <conditionalFormatting sqref="B27:AE29">
    <cfRule type="expression" dxfId="119" priority="51">
      <formula>B27=""</formula>
    </cfRule>
  </conditionalFormatting>
  <conditionalFormatting sqref="B30:AE31">
    <cfRule type="containsText" dxfId="118" priority="45" operator="containsText" text="Unclear">
      <formula>NOT(ISERROR(SEARCH("Unclear",B30)))</formula>
    </cfRule>
    <cfRule type="containsText" dxfId="117" priority="46" operator="containsText" text="High">
      <formula>NOT(ISERROR(SEARCH("High",B30)))</formula>
    </cfRule>
    <cfRule type="containsText" dxfId="116" priority="47" operator="containsText" text="Low">
      <formula>NOT(ISERROR(SEARCH("Low",B30)))</formula>
    </cfRule>
    <cfRule type="expression" dxfId="115" priority="57">
      <formula>AND(B$27&lt;&gt;"",B$28&lt;&gt;"",B$29&lt;&gt;"")</formula>
    </cfRule>
  </conditionalFormatting>
  <conditionalFormatting sqref="B38:AE43">
    <cfRule type="expression" dxfId="114" priority="50">
      <formula>B38=""</formula>
    </cfRule>
  </conditionalFormatting>
  <conditionalFormatting sqref="B44:AE45">
    <cfRule type="containsText" dxfId="113" priority="42" operator="containsText" text="Unclear">
      <formula>NOT(ISERROR(SEARCH("Unclear",B44)))</formula>
    </cfRule>
    <cfRule type="containsText" dxfId="112" priority="43" operator="containsText" text="High">
      <formula>NOT(ISERROR(SEARCH("High",B44)))</formula>
    </cfRule>
    <cfRule type="containsText" dxfId="111" priority="44" operator="containsText" text="Low">
      <formula>NOT(ISERROR(SEARCH("Low",B44)))</formula>
    </cfRule>
    <cfRule type="expression" dxfId="110" priority="54">
      <formula>AND(B$38&lt;&gt;"",B$39&lt;&gt;"",B$40&lt;&gt;"",B$41&lt;&gt;"",B$42&lt;&gt;"",B$43&lt;&gt;"")</formula>
    </cfRule>
  </conditionalFormatting>
  <conditionalFormatting sqref="B54:AE62">
    <cfRule type="expression" dxfId="109" priority="49">
      <formula>B54=""</formula>
    </cfRule>
  </conditionalFormatting>
  <conditionalFormatting sqref="B63:AE63">
    <cfRule type="containsText" dxfId="108" priority="39" operator="containsText" text="Unclear">
      <formula>NOT(ISERROR(SEARCH("Unclear",B63)))</formula>
    </cfRule>
    <cfRule type="containsText" dxfId="107" priority="40" operator="containsText" text="High">
      <formula>NOT(ISERROR(SEARCH("High",B63)))</formula>
    </cfRule>
    <cfRule type="containsText" dxfId="106" priority="41" operator="containsText" text="Low">
      <formula>NOT(ISERROR(SEARCH("Low",B63)))</formula>
    </cfRule>
    <cfRule type="expression" dxfId="105"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election activeCell="D21" sqref="D21"/>
    </sheetView>
  </sheetViews>
  <sheetFormatPr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80" t="s">
        <v>339</v>
      </c>
      <c r="C3" s="381"/>
      <c r="D3" s="381"/>
      <c r="E3" s="381"/>
      <c r="F3" s="381"/>
      <c r="G3" s="381"/>
      <c r="H3" s="381"/>
      <c r="I3" s="381"/>
      <c r="J3" s="381"/>
      <c r="K3" s="382"/>
      <c r="L3" s="126"/>
      <c r="M3" s="126"/>
      <c r="N3" s="126"/>
      <c r="O3" s="126"/>
      <c r="P3" s="126"/>
      <c r="Q3" s="126"/>
      <c r="R3" s="126"/>
      <c r="S3" s="126"/>
      <c r="T3" s="126"/>
    </row>
    <row r="4" spans="1:20" s="127" customFormat="1" ht="11.25" customHeight="1" x14ac:dyDescent="0.2">
      <c r="B4" s="384" t="s">
        <v>340</v>
      </c>
      <c r="C4" s="384" t="s">
        <v>341</v>
      </c>
      <c r="D4" s="384" t="s">
        <v>342</v>
      </c>
      <c r="E4" s="384" t="s">
        <v>277</v>
      </c>
      <c r="F4" s="384" t="s">
        <v>343</v>
      </c>
      <c r="G4" s="383" t="s">
        <v>344</v>
      </c>
      <c r="H4" s="383"/>
      <c r="I4" s="383"/>
      <c r="J4" s="383"/>
      <c r="K4" s="383"/>
      <c r="L4" s="128"/>
      <c r="M4" s="126"/>
      <c r="N4" s="126"/>
      <c r="O4" s="126"/>
      <c r="P4" s="126"/>
      <c r="Q4" s="126"/>
      <c r="R4" s="126"/>
      <c r="S4" s="126"/>
      <c r="T4" s="126"/>
    </row>
    <row r="5" spans="1:20" s="127" customFormat="1" ht="26.25" customHeight="1" x14ac:dyDescent="0.2">
      <c r="B5" s="385"/>
      <c r="C5" s="386"/>
      <c r="D5" s="385"/>
      <c r="E5" s="385"/>
      <c r="F5" s="385"/>
      <c r="G5" s="168" t="str">
        <f>IF(CHARMS!E24="","",CHARMS!E24)</f>
        <v>Age of participants</v>
      </c>
      <c r="H5" s="168" t="str">
        <f>IF(CHARMS!E25="","",CHARMS!E25)</f>
        <v>Native valve endocarditis</v>
      </c>
      <c r="I5" s="168" t="str">
        <f>IF(CHARMS!E26="","",CHARMS!E26)</f>
        <v>Valve affected</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Jill M. Brooks, 2019</v>
      </c>
      <c r="B6" s="207" t="str">
        <f>HLOOKUP($A6,CHARMS!$A$6:$CQ$89,1,)</f>
        <v>Jill M. Brooks, 2019</v>
      </c>
      <c r="C6" s="169" t="str">
        <f>HLOOKUP($A6,CHARMS!$A$6:$CQ$89,9,)</f>
        <v>Existing registry</v>
      </c>
      <c r="D6" s="169" t="str">
        <f>HLOOKUP($A6,CHARMS!$A$6:$CQ$89,12,)</f>
        <v>2002 - 2008</v>
      </c>
      <c r="E6" s="170" t="str">
        <f>HLOOKUP($A6,CHARMS!$A$6:$CQ$89,13,)</f>
        <v>Cardiac surgery centers</v>
      </c>
      <c r="F6" s="169" t="str">
        <f>HLOOKUP($A6,CHARMS!$A$6:$CQ$89,14,)</f>
        <v>North America</v>
      </c>
      <c r="G6" s="171" t="str">
        <f>HLOOKUP($A6,CHARMS!$A$6:$CQ$89,19,)</f>
        <v>55 (46;66)</v>
      </c>
      <c r="H6" s="171" t="str">
        <f>HLOOKUP($A6,CHARMS!$A$6:$CQ$89,20,)</f>
        <v>No information</v>
      </c>
      <c r="I6" s="171" t="str">
        <f>HLOOKUP($A6,CHARMS!$A$6:$CQ$89,21,)</f>
        <v>All</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Edian F. Franco, 2013</v>
      </c>
      <c r="B7" s="207" t="str">
        <f>HLOOKUP($A7,CHARMS!$A$6:$CQ$89,1,)</f>
        <v>Edian F. Franco, 2013</v>
      </c>
      <c r="C7" s="169" t="str">
        <f>HLOOKUP($A7,CHARMS!$A$6:$CQ$89,9,)</f>
        <v>Retrospective cohort</v>
      </c>
      <c r="D7" s="169" t="str">
        <f>HLOOKUP($A7,CHARMS!$A$6:$CQ$89,12,)</f>
        <v>1980 - 2009</v>
      </c>
      <c r="E7" s="169" t="str">
        <f>HLOOKUP($A7,CHARMS!$A$6:$CQ$89,13,)</f>
        <v>Cardiac surgery center</v>
      </c>
      <c r="F7" s="169" t="str">
        <f>HLOOKUP($A7,CHARMS!$A$6:$CQ$89,14,)</f>
        <v>Italy</v>
      </c>
      <c r="G7" s="169" t="str">
        <f>HLOOKUP($A7,CHARMS!$A$6:$CQ$89,19,)</f>
        <v>49 (16)</v>
      </c>
      <c r="H7" s="169" t="str">
        <f>HLOOKUP($A7,CHARMS!$A$6:$CQ$89,20,)</f>
        <v>440 (100)</v>
      </c>
      <c r="I7" s="169" t="str">
        <f>HLOOKUP($A7,CHARMS!$A$6:$CQ$89,21,)</f>
        <v>All</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Cheng-Peng Gui, 2021</v>
      </c>
      <c r="B8" s="207" t="str">
        <f>HLOOKUP($A8,CHARMS!$A$6:$CQ$89,1,)</f>
        <v>Cheng-Peng Gui, 2021</v>
      </c>
      <c r="C8" s="169" t="str">
        <f>HLOOKUP($A8,CHARMS!$A$6:$CQ$89,9,)</f>
        <v>Existing registry</v>
      </c>
      <c r="D8" s="169" t="str">
        <f>HLOOKUP($A8,CHARMS!$A$6:$CQ$89,12,)</f>
        <v>2008 - 2010</v>
      </c>
      <c r="E8" s="169" t="str">
        <f>HLOOKUP($A8,CHARMS!$A$6:$CQ$89,13,)</f>
        <v>Cardiac surgery centers</v>
      </c>
      <c r="F8" s="169" t="str">
        <f>HLOOKUP($A8,CHARMS!$A$6:$CQ$89,14,)</f>
        <v>Spain</v>
      </c>
      <c r="G8" s="169" t="str">
        <f>HLOOKUP($A8,CHARMS!$A$6:$CQ$89,19,)</f>
        <v>61.4 (15.5)</v>
      </c>
      <c r="H8" s="169" t="str">
        <f>HLOOKUP($A8,CHARMS!$A$6:$CQ$89,20,)</f>
        <v>267 (61.1)</v>
      </c>
      <c r="I8" s="169" t="str">
        <f>HLOOKUP($A8,CHARMS!$A$6:$CQ$89,21,)</f>
        <v>All</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Yifan Liu, 2020</v>
      </c>
      <c r="B9" s="207" t="str">
        <f>HLOOKUP($A9,CHARMS!$A$6:$CQ$89,1,)</f>
        <v>Yifan Liu, 2020</v>
      </c>
      <c r="C9" s="169" t="str">
        <f>HLOOKUP($A9,CHARMS!$A$6:$CQ$89,9,)</f>
        <v>Retrospective cohort</v>
      </c>
      <c r="D9" s="169" t="str">
        <f>HLOOKUP($A9,CHARMS!$A$6:$CQ$89,12,)</f>
        <v>2007 - 2014</v>
      </c>
      <c r="E9" s="169" t="str">
        <f>HLOOKUP($A9,CHARMS!$A$6:$CQ$89,13,)</f>
        <v>Cardiac surgery center</v>
      </c>
      <c r="F9" s="169" t="str">
        <f>HLOOKUP($A9,CHARMS!$A$6:$CQ$89,14,)</f>
        <v>Portugal</v>
      </c>
      <c r="G9" s="169" t="str">
        <f>HLOOKUP($A9,CHARMS!$A$6:$CQ$89,19,)</f>
        <v>60 (47;70)</v>
      </c>
      <c r="H9" s="169" t="str">
        <f>HLOOKUP($A9,CHARMS!$A$6:$CQ$89,20,)</f>
        <v>94 (73.4)</v>
      </c>
      <c r="I9" s="169" t="str">
        <f>HLOOKUP($A9,CHARMS!$A$6:$CQ$89,21,)</f>
        <v>All</v>
      </c>
      <c r="J9" s="169">
        <f>HLOOKUP($A9,CHARMS!$A$6:$CQ$89,22,)</f>
        <v>0</v>
      </c>
      <c r="K9" s="169">
        <f>HLOOKUP($A9,CHARMS!$A$6:$CQ$89,23,)</f>
        <v>0</v>
      </c>
      <c r="L9" s="130"/>
      <c r="M9" s="130"/>
      <c r="N9" s="130"/>
      <c r="O9" s="130"/>
      <c r="P9" s="130"/>
      <c r="Q9" s="130"/>
      <c r="R9" s="130"/>
      <c r="S9" s="130"/>
      <c r="T9" s="130"/>
    </row>
    <row r="10" spans="1:20" s="129" customFormat="1" ht="22.5" customHeight="1" x14ac:dyDescent="0.2">
      <c r="A10" s="127" t="e">
        <f>CHARMS!R$6</f>
        <v>#REF!</v>
      </c>
      <c r="B10" s="207" t="e">
        <f>HLOOKUP($A10,CHARMS!$A$6:$CQ$89,1,)</f>
        <v>#REF!</v>
      </c>
      <c r="C10" s="169" t="e">
        <f>HLOOKUP($A10,CHARMS!$A$6:$CQ$89,9,)</f>
        <v>#REF!</v>
      </c>
      <c r="D10" s="169" t="e">
        <f>HLOOKUP($A10,CHARMS!$A$6:$CQ$89,12,)</f>
        <v>#REF!</v>
      </c>
      <c r="E10" s="169" t="e">
        <f>HLOOKUP($A10,CHARMS!$A$6:$CQ$89,13,)</f>
        <v>#REF!</v>
      </c>
      <c r="F10" s="169" t="e">
        <f>HLOOKUP($A10,CHARMS!$A$6:$CQ$89,14,)</f>
        <v>#REF!</v>
      </c>
      <c r="G10" s="169" t="e">
        <f>HLOOKUP($A10,CHARMS!$A$6:$CQ$89,19,)</f>
        <v>#REF!</v>
      </c>
      <c r="H10" s="169" t="e">
        <f>HLOOKUP($A10,CHARMS!$A$6:$CQ$89,20,)</f>
        <v>#REF!</v>
      </c>
      <c r="I10" s="169" t="e">
        <f>HLOOKUP($A10,CHARMS!$A$6:$CQ$89,21,)</f>
        <v>#REF!</v>
      </c>
      <c r="J10" s="169" t="e">
        <f>HLOOKUP($A10,CHARMS!$A$6:$CQ$89,22,)</f>
        <v>#REF!</v>
      </c>
      <c r="K10" s="169" t="e">
        <f>HLOOKUP($A10,CHARMS!$A$6:$CQ$89,23,)</f>
        <v>#REF!</v>
      </c>
      <c r="L10" s="130"/>
      <c r="M10" s="130"/>
      <c r="N10" s="130"/>
      <c r="O10" s="130"/>
      <c r="P10" s="130"/>
      <c r="Q10" s="130"/>
      <c r="R10" s="130"/>
      <c r="S10" s="130"/>
      <c r="T10" s="130"/>
    </row>
    <row r="11" spans="1:20" s="129" customFormat="1" ht="22.5" customHeight="1" x14ac:dyDescent="0.2">
      <c r="A11" s="127" t="str">
        <f>CHARMS!U$6</f>
        <v>Jia Li, 2022</v>
      </c>
      <c r="B11" s="207" t="str">
        <f>HLOOKUP($A11,CHARMS!$A$6:$CQ$89,1,)</f>
        <v>Jia Li, 2022</v>
      </c>
      <c r="C11" s="169" t="str">
        <f>HLOOKUP($A11,CHARMS!$A$6:$CQ$89,9,)</f>
        <v>Other (specify)</v>
      </c>
      <c r="D11" s="169" t="str">
        <f>HLOOKUP($A11,CHARMS!$A$6:$CQ$89,12,)</f>
        <v>2000 - 2015 (Italy) 2008 (France)</v>
      </c>
      <c r="E11" s="169" t="str">
        <f>HLOOKUP($A11,CHARMS!$A$6:$CQ$89,13,)</f>
        <v>Cardiac surgery centers</v>
      </c>
      <c r="F11" s="169" t="str">
        <f>HLOOKUP($A11,CHARMS!$A$6:$CQ$89,14,)</f>
        <v>Italy and France</v>
      </c>
      <c r="G11" s="169" t="str">
        <f>HLOOKUP($A11,CHARMS!$A$6:$CQ$89,19,)</f>
        <v>59.1 (15.4)</v>
      </c>
      <c r="H11" s="169" t="str">
        <f>HLOOKUP($A11,CHARMS!$A$6:$CQ$89,20,)</f>
        <v>285 (78.9)</v>
      </c>
      <c r="I11" s="169" t="str">
        <f>HLOOKUP($A11,CHARMS!$A$6:$CQ$89,21,)</f>
        <v>All</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Run Shi , 2021</v>
      </c>
      <c r="B12" s="207" t="str">
        <f>HLOOKUP($A12,CHARMS!$A$6:$CQ$89,1,)</f>
        <v>Run Shi , 2021</v>
      </c>
      <c r="C12" s="169" t="str">
        <f>HLOOKUP($A12,CHARMS!$A$6:$CQ$89,9,)</f>
        <v>Retrospective cohort</v>
      </c>
      <c r="D12" s="169" t="str">
        <f>HLOOKUP($A12,CHARMS!$A$6:$CQ$89,12,)</f>
        <v>2000 - 2015</v>
      </c>
      <c r="E12" s="169" t="str">
        <f>HLOOKUP($A12,CHARMS!$A$6:$CQ$89,13,)</f>
        <v>Cardiac surgery centers</v>
      </c>
      <c r="F12" s="169" t="str">
        <f>HLOOKUP($A12,CHARMS!$A$6:$CQ$89,14,)</f>
        <v>Italy</v>
      </c>
      <c r="G12" s="169" t="str">
        <f>HLOOKUP($A12,CHARMS!$A$6:$CQ$89,19,)</f>
        <v>59.6 (15.1)</v>
      </c>
      <c r="H12" s="169" t="str">
        <f>HLOOKUP($A12,CHARMS!$A$6:$CQ$89,20,)</f>
        <v>2.221 (82)</v>
      </c>
      <c r="I12" s="169" t="str">
        <f>HLOOKUP($A12,CHARMS!$A$6:$CQ$89,21,)</f>
        <v>All</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Jun Shao, 2021</v>
      </c>
      <c r="B13" s="207" t="str">
        <f>HLOOKUP($A13,CHARMS!$A$6:$CQ$89,1,)</f>
        <v>Jun Shao, 2021</v>
      </c>
      <c r="C13" s="169" t="str">
        <f>HLOOKUP($A13,CHARMS!$A$6:$CQ$89,9,)</f>
        <v>Retrospective cohort</v>
      </c>
      <c r="D13" s="169" t="str">
        <f>HLOOKUP($A13,CHARMS!$A$6:$CQ$89,12,)</f>
        <v>1999 - 2015</v>
      </c>
      <c r="E13" s="169" t="str">
        <f>HLOOKUP($A13,CHARMS!$A$6:$CQ$89,13,)</f>
        <v>Cardiac surgery center</v>
      </c>
      <c r="F13" s="169" t="str">
        <f>HLOOKUP($A13,CHARMS!$A$6:$CQ$89,14,)</f>
        <v>Italy</v>
      </c>
      <c r="G13" s="169" t="str">
        <f>HLOOKUP($A13,CHARMS!$A$6:$CQ$89,19,)</f>
        <v>60.6 (8.5)</v>
      </c>
      <c r="H13" s="169" t="str">
        <f>HLOOKUP($A13,CHARMS!$A$6:$CQ$89,20,)</f>
        <v>103 (74.6)</v>
      </c>
      <c r="I13" s="169" t="str">
        <f>HLOOKUP($A13,CHARMS!$A$6:$CQ$89,21,)</f>
        <v>All</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Baohui Zhang, 2020</v>
      </c>
      <c r="B14" s="207" t="str">
        <f>HLOOKUP($A14,CHARMS!$A$6:$CQ$89,1,)</f>
        <v>Baohui Zhang, 2020</v>
      </c>
      <c r="C14" s="169" t="str">
        <f>HLOOKUP($A14,CHARMS!$A$6:$CQ$89,9,)</f>
        <v>Retrospective cohort</v>
      </c>
      <c r="D14" s="169" t="str">
        <f>HLOOKUP($A14,CHARMS!$A$6:$CQ$89,12,)</f>
        <v>1996 - 2014</v>
      </c>
      <c r="E14" s="169" t="str">
        <f>HLOOKUP($A14,CHARMS!$A$6:$CQ$89,13,)</f>
        <v>Cardiac surgery centers</v>
      </c>
      <c r="F14" s="169" t="str">
        <f>HLOOKUP($A14,CHARMS!$A$6:$CQ$89,14,)</f>
        <v>Spain</v>
      </c>
      <c r="G14" s="169" t="str">
        <f>HLOOKUP($A14,CHARMS!$A$6:$CQ$89,19,)</f>
        <v>62 (14)</v>
      </c>
      <c r="H14" s="169" t="str">
        <f>HLOOKUP($A14,CHARMS!$A$6:$CQ$89,20,)</f>
        <v>259 (61.1)</v>
      </c>
      <c r="I14" s="169" t="str">
        <f>HLOOKUP($A14,CHARMS!$A$6:$CQ$89,21,)</f>
        <v>Aortic / Mitral</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Qiangnu Zhang, 2021</v>
      </c>
      <c r="B15" s="207" t="str">
        <f>HLOOKUP($A15,CHARMS!$A$6:$CQ$89,1,)</f>
        <v>Qiangnu Zhang, 2021</v>
      </c>
      <c r="C15" s="169" t="str">
        <f>HLOOKUP($A15,CHARMS!$A$6:$CQ$89,9,)</f>
        <v>Retrospective cohort</v>
      </c>
      <c r="D15" s="169" t="str">
        <f>HLOOKUP($A15,CHARMS!$A$6:$CQ$89,12,)</f>
        <v>2000 - 2011</v>
      </c>
      <c r="E15" s="169" t="str">
        <f>HLOOKUP($A15,CHARMS!$A$6:$CQ$89,13,)</f>
        <v>Cardiac surgery centers</v>
      </c>
      <c r="F15" s="169" t="str">
        <f>HLOOKUP($A15,CHARMS!$A$6:$CQ$89,14,)</f>
        <v>Spain</v>
      </c>
      <c r="G15" s="169" t="str">
        <f>HLOOKUP($A15,CHARMS!$A$6:$CQ$89,19,)</f>
        <v>58 (15.1)</v>
      </c>
      <c r="H15" s="169" t="str">
        <f>HLOOKUP($A15,CHARMS!$A$6:$CQ$89,20,)</f>
        <v>No information</v>
      </c>
      <c r="I15" s="169" t="str">
        <f>HLOOKUP($A15,CHARMS!$A$6:$CQ$89,21,)</f>
        <v>All</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Fanhong Zeng, 2021</v>
      </c>
      <c r="B16" s="207" t="str">
        <f>HLOOKUP($A16,CHARMS!$A$6:$CQ$89,1,)</f>
        <v>Fanhong Zeng, 2021</v>
      </c>
      <c r="C16" s="169" t="str">
        <f>HLOOKUP($A16,CHARMS!$A$6:$CQ$89,9,)</f>
        <v>Retrospective cohort</v>
      </c>
      <c r="D16" s="169" t="str">
        <f>HLOOKUP($A16,CHARMS!$A$6:$CQ$89,12,)</f>
        <v>2000 - 2011</v>
      </c>
      <c r="E16" s="169" t="str">
        <f>HLOOKUP($A16,CHARMS!$A$6:$CQ$89,13,)</f>
        <v>Cardiac surgery centers</v>
      </c>
      <c r="F16" s="169" t="str">
        <f>HLOOKUP($A16,CHARMS!$A$6:$CQ$89,14,)</f>
        <v>Spain</v>
      </c>
      <c r="G16" s="169" t="str">
        <f>HLOOKUP($A16,CHARMS!$A$6:$CQ$89,19,)</f>
        <v>58 (15.1)</v>
      </c>
      <c r="H16" s="169" t="str">
        <f>HLOOKUP($A16,CHARMS!$A$6:$CQ$89,20,)</f>
        <v>No information</v>
      </c>
      <c r="I16" s="169" t="str">
        <f>HLOOKUP($A16,CHARMS!$A$6:$CQ$89,21,)</f>
        <v>All</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Brian Lane, 2022</v>
      </c>
      <c r="B17" s="207" t="str">
        <f>HLOOKUP($A17,CHARMS!$A$6:$CQ$89,1,)</f>
        <v>Brian Lane, 2022</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Ke Wang, 2022</v>
      </c>
      <c r="B18" s="207" t="str">
        <f>HLOOKUP($A18,CHARMS!$A$6:$CQ$89,1,)</f>
        <v>Ke Wang, 2022</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Xiong Tian, 2022</v>
      </c>
      <c r="B19" s="207" t="str">
        <f>HLOOKUP($A19,CHARMS!$A$6:$CQ$89,1,)</f>
        <v>Xiong Tian, 2022</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Dongjie Chen, 2021</v>
      </c>
      <c r="B20" s="207" t="str">
        <f>HLOOKUP($A20,CHARMS!$A$6:$CQ$89,1,)</f>
        <v>Dongjie Chen, 2021</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Yanhong Shou, 2021</v>
      </c>
      <c r="B21" s="207" t="str">
        <f>HLOOKUP($A21,CHARMS!$A$6:$CQ$89,1,)</f>
        <v>Yanhong Shou, 2021</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Xiangqian Zhang, 2023</v>
      </c>
      <c r="B22" s="207" t="str">
        <f>HLOOKUP($A22,CHARMS!$A$6:$CQ$89,1,)</f>
        <v>Xiangqian Zhang, 2023</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Chenyu Nie, 2022</v>
      </c>
      <c r="B23" s="207" t="str">
        <f>HLOOKUP($A23,CHARMS!$A$6:$CQ$89,1,)</f>
        <v>Chenyu Nie, 2022</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Jinman Zhong, 2021</v>
      </c>
      <c r="B24" s="207" t="str">
        <f>HLOOKUP($A24,CHARMS!$A$6:$CQ$89,1,)</f>
        <v>Jinman Zhong, 2021</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Xia Yang, 2021</v>
      </c>
      <c r="B25" s="207" t="str">
        <f>HLOOKUP($A25,CHARMS!$A$6:$CQ$89,1,)</f>
        <v>Xia Yang, 2021</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Zhi Liu (21) X7, 2021</v>
      </c>
      <c r="B26" s="207" t="str">
        <f>HLOOKUP($A26,CHARMS!$A$6:$CQ$89,1,)</f>
        <v>Zhi Liu (21) X7, 2021</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207"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207"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207"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207"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207"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207"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207"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207"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208"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6">
    <cfRule type="expression" dxfId="75" priority="2">
      <formula>$A$6=""</formula>
    </cfRule>
  </conditionalFormatting>
  <conditionalFormatting sqref="B6:K35">
    <cfRule type="cellIs" dxfId="74" priority="1" operator="equal">
      <formula>0</formula>
    </cfRule>
    <cfRule type="expression" dxfId="73" priority="4">
      <formula>$A6=""</formula>
    </cfRule>
  </conditionalFormatting>
  <conditionalFormatting sqref="B7:K35">
    <cfRule type="expression" dxfId="72" priority="3">
      <formula>$A7&lt;&gt;""</formula>
    </cfRule>
  </conditionalFormatting>
  <pageMargins left="0.7" right="0.7" top="0.75" bottom="0.75" header="0.3" footer="0.3"/>
  <pageSetup paperSize="9"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I3" zoomScaleNormal="100" workbookViewId="0">
      <selection activeCell="M4" sqref="M4:M5"/>
    </sheetView>
  </sheetViews>
  <sheetFormatPr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80" t="s">
        <v>345</v>
      </c>
      <c r="C3" s="381"/>
      <c r="D3" s="381"/>
      <c r="E3" s="381"/>
      <c r="F3" s="381"/>
      <c r="G3" s="381"/>
      <c r="H3" s="381"/>
      <c r="I3" s="381"/>
      <c r="J3" s="381"/>
      <c r="K3" s="381"/>
      <c r="L3" s="381"/>
      <c r="M3" s="381"/>
      <c r="N3" s="381"/>
      <c r="O3" s="381"/>
      <c r="P3" s="381"/>
      <c r="Q3" s="381"/>
      <c r="R3" s="382"/>
      <c r="S3" s="122"/>
      <c r="T3" s="122"/>
      <c r="U3" s="122"/>
      <c r="V3" s="122"/>
      <c r="W3" s="122"/>
    </row>
    <row r="4" spans="1:23" ht="22.5" customHeight="1" thickBot="1" x14ac:dyDescent="0.3">
      <c r="B4" s="384" t="s">
        <v>340</v>
      </c>
      <c r="C4" s="384" t="s">
        <v>346</v>
      </c>
      <c r="D4" s="384" t="s">
        <v>347</v>
      </c>
      <c r="E4" s="132" t="s">
        <v>348</v>
      </c>
      <c r="F4" s="384" t="s">
        <v>349</v>
      </c>
      <c r="G4" s="384"/>
      <c r="H4" s="384" t="s">
        <v>350</v>
      </c>
      <c r="I4" s="384" t="s">
        <v>351</v>
      </c>
      <c r="J4" s="384" t="s">
        <v>352</v>
      </c>
      <c r="K4" s="384" t="s">
        <v>353</v>
      </c>
      <c r="L4" s="384" t="s">
        <v>354</v>
      </c>
      <c r="M4" s="384" t="s">
        <v>329</v>
      </c>
      <c r="N4" s="133"/>
      <c r="O4" s="388" t="s">
        <v>355</v>
      </c>
      <c r="P4" s="388"/>
      <c r="Q4" s="388"/>
      <c r="R4" s="388"/>
    </row>
    <row r="5" spans="1:23" ht="15" customHeight="1" thickBot="1" x14ac:dyDescent="0.3">
      <c r="B5" s="387"/>
      <c r="C5" s="387"/>
      <c r="D5" s="387"/>
      <c r="E5" s="134" t="s">
        <v>108</v>
      </c>
      <c r="F5" s="134" t="s">
        <v>356</v>
      </c>
      <c r="G5" s="134" t="s">
        <v>357</v>
      </c>
      <c r="H5" s="387"/>
      <c r="I5" s="387"/>
      <c r="J5" s="387"/>
      <c r="K5" s="387"/>
      <c r="L5" s="387"/>
      <c r="M5" s="387"/>
      <c r="N5" s="134"/>
      <c r="O5" s="135" t="s">
        <v>358</v>
      </c>
      <c r="P5" s="135" t="s">
        <v>359</v>
      </c>
      <c r="Q5" s="135" t="s">
        <v>360</v>
      </c>
      <c r="R5" s="135" t="s">
        <v>361</v>
      </c>
    </row>
    <row r="6" spans="1:23" s="140" customFormat="1" ht="22.5" customHeight="1" x14ac:dyDescent="0.25">
      <c r="A6" s="395" t="str">
        <f>CHARMS!F$6</f>
        <v>Jill M. Brooks, 2019</v>
      </c>
      <c r="B6" s="396" t="str">
        <f>HLOOKUP($A6,CHARMS!$A$6:$CQ$89,1,)</f>
        <v>Jill M. Brooks, 2019</v>
      </c>
      <c r="C6" s="389" t="str">
        <f>IF($A6="","",HLOOKUP($A6,CHARMS!$A$6:$CQ$89,48,))</f>
        <v>Logistic GEE regression</v>
      </c>
      <c r="D6" s="393">
        <f>IF($A6="","",IF(HLOOKUP($A6,CHARMS!$A$6:$CQ$89,40,)=0,"Unkown",HLOOKUP($A6,CHARMS!$A$6:$CQ$89,40,)))</f>
        <v>13617</v>
      </c>
      <c r="E6" s="389" t="str">
        <f>IF($A6="","",IF(HLOOKUP($A6,CHARMS!$A$6:$CQ$89,40,)=0,"Unkown",CONCATENATE(HLOOKUP($A6,CHARMS!$A$6:$CQ$89,41,)," (",FIXED((HLOOKUP($A6,CHARMS!$A$6:$CQ$89,41,)/HLOOKUP($A6,CHARMS!$A$6:$CQ$89,40,))*100,1),")")))</f>
        <v>1117 (8.2)</v>
      </c>
      <c r="F6" s="389">
        <f>IF($A6="","",IF(HLOOKUP($A6,CHARMS!$A$6:$CQ$89,33,)=0,"Unkown",HLOOKUP($A6,CHARMS!$A$6:$CQ$89,33,)))</f>
        <v>38</v>
      </c>
      <c r="G6" s="389">
        <f>IF($A6="","",HLOOKUP($A6,CHARMS!$A$6:$CQ$89,79,))</f>
        <v>13</v>
      </c>
      <c r="H6" s="391">
        <f>IF($A6="","",HLOOKUP($A6,CHARMS!$A$6:$CQ$89,43,))</f>
        <v>29.394736842105264</v>
      </c>
      <c r="I6" s="389" t="str">
        <f>IF($A6="","",HLOOKUP($A6,CHARMS!$A$6:$CQ$89,49,))</f>
        <v>Based on univariable associations</v>
      </c>
      <c r="J6" s="389" t="str">
        <f>IF($A6="","",HLOOKUP($A6,CHARMS!$A$6:$CQ$89,50,))</f>
        <v>No information</v>
      </c>
      <c r="K6" s="389" t="str">
        <f>CONCATENATE(IF($A6="","",IF(OR(HLOOKUP($A6,CHARMS!$A$6:$CQ$89,40,)=0,ISTEXT(HLOOKUP($A6,CHARMS!$A$6:$CQ$89,45,))),"n (%): Unkown",CONCATENATE("n (%): ",HLOOKUP($A6,CHARMS!$A$6:$CQ$89,45,)," (",FIXED((HLOOKUP($A6,CHARMS!$A$6:$CQ$89,45,)/HLOOKUP($A6,CHARMS!$A$6:$CQ$89,40,))*100,1),")"))),CHAR(10),IF($A6="","",CONCATENATE("Method: ",HLOOKUP($A6,CHARMS!$A$6:$CQ$89,46,))))</f>
        <v>n (%): 98 (0.7)
Method: No information</v>
      </c>
      <c r="L6" s="391" t="str">
        <f>IF($A6="","",CONCATENATE("Int: ",HLOOKUP($A6,CHARMS!$A$6:$CQ$89,75,),CHAR(10),"Ext : ",HLOOKUP($A6,CHARMS!$A$6:$CQ$89,76,)))</f>
        <v>Int: Random split data
Ext : None</v>
      </c>
      <c r="M6" s="391" t="str">
        <f>IF($A6="","",CONCATENATE("Cal: ",HLOOKUP($A6,CHARMS!$A$6:$CQ$89,53,),CHAR(10),"Disc : ",HLOOKUP($A6,CHARMS!$A$6:$CQ$89,59,),CHAR(10),"Ov: ",HLOOKUP($A6,CHARMS!$A$6:$CQ$89,66,)))</f>
        <v>Cal: Calibration plot 
Disc : C-Statistic 
Ov: Not evaluated</v>
      </c>
      <c r="N6" s="136" t="s">
        <v>30</v>
      </c>
      <c r="O6" s="137" t="str">
        <f>_xlfn.IFNA(IF(HLOOKUP($A6,PROBAST!$A$6:$AE$77,11,)="Low RoB","+",IF(HLOOKUP($A6,PROBAST!$A$6:$AE$77,11,)="High RoB","-",IF(HLOOKUP($A6,PROBAST!$A$6:$AE$77,11,)="Unclear","?",""))),"")</f>
        <v>+</v>
      </c>
      <c r="P6" s="137" t="str">
        <f>_xlfn.IFNA(IF(HLOOKUP($A6,PROBAST!$A$6:$AE$77,25,)="Low RoB","+",IF(HLOOKUP($A6,PROBAST!$A$6:$AE$77,25,)="High RoB","-",IF(HLOOKUP($A6,PROBAST!$A$6:$AE$77,25,)="Unclear","?",""))),"")</f>
        <v>+</v>
      </c>
      <c r="Q6" s="137" t="str">
        <f>_xlfn.IFNA(IF(HLOOKUP($A6,PROBAST!$A$6:$AE$77,39,)="Low RoB","+",IF(HLOOKUP($A6,PROBAST!$A$6:$AE$77,39,)="High RoB","-",IF(HLOOKUP($A6,PROBAST!$A$6:$AE$77,39,)="Unclear","?",""))),"")</f>
        <v>+</v>
      </c>
      <c r="R6" s="138" t="str">
        <f>_xlfn.IFNA(IF(HLOOKUP($A6,PROBAST!$A$6:$AE$77,58,)="Low RoB","+",IF(HLOOKUP($A6,PROBAST!$A$6:$AE$77,58,)="High RoB","-",IF(HLOOKUP($A6,PROBAST!$A$6:$AE$77,58,)="Unclear","?",""))),"")</f>
        <v>+</v>
      </c>
      <c r="S6" s="139"/>
      <c r="T6" s="139"/>
      <c r="U6" s="139"/>
      <c r="V6" s="139"/>
      <c r="W6" s="139"/>
    </row>
    <row r="7" spans="1:23" ht="22.5" customHeight="1" thickBot="1" x14ac:dyDescent="0.3">
      <c r="A7" s="395"/>
      <c r="B7" s="397"/>
      <c r="C7" s="390"/>
      <c r="D7" s="394"/>
      <c r="E7" s="390"/>
      <c r="F7" s="390"/>
      <c r="G7" s="390"/>
      <c r="H7" s="392"/>
      <c r="I7" s="390"/>
      <c r="J7" s="390"/>
      <c r="K7" s="399"/>
      <c r="L7" s="392"/>
      <c r="M7" s="392"/>
      <c r="N7" s="141" t="s">
        <v>29</v>
      </c>
      <c r="O7" s="142" t="str">
        <f>_xlfn.IFNA(IF(HLOOKUP($A6,PROBAST!$A$6:$AE$77,12,)="Low concern","+",IF(HLOOKUP($A7,PROBAST!$A$6:$AE$77,12,)="High concern","-",IF(HLOOKUP($A6,PROBAST!$A$6:$AE$77,12,)="Unclear","?",""))),"")</f>
        <v>+</v>
      </c>
      <c r="P7" s="142" t="str">
        <f>_xlfn.IFNA(IF(HLOOKUP($A6,PROBAST!$A$6:$AE$77,26,)="Low concern","+",IF(HLOOKUP($A6,PROBAST!$A$6:$AE$77,26,)="High concern","-",IF(HLOOKUP($A6,PROBAST!$A$6:$AE$77,26,)="Unclear","?",""))),"")</f>
        <v>+</v>
      </c>
      <c r="Q7" s="142" t="str">
        <f>_xlfn.IFNA(IF(HLOOKUP($A6,PROBAST!$A$6:$AE$77,40,)="Low concern","+",IF(HLOOKUP($A6,PROBAST!$A$6:$AE$77,40,)="High concern","-",IF(HLOOKUP($A6,PROBAST!$A$6:$AE$77,40,)="Unclear","?",""))),"")</f>
        <v>+</v>
      </c>
      <c r="R7" s="143"/>
    </row>
    <row r="8" spans="1:23" s="140" customFormat="1" ht="22.5" customHeight="1" x14ac:dyDescent="0.25">
      <c r="A8" s="395" t="str">
        <f>CHARMS!I$6</f>
        <v>Edian F. Franco, 2013</v>
      </c>
      <c r="B8" s="396" t="str">
        <f>HLOOKUP($A8,CHARMS!$A$6:$CQ$89,1,)</f>
        <v>Edian F. Franco, 2013</v>
      </c>
      <c r="C8" s="389" t="str">
        <f>IF($A8="","",HLOOKUP($A8,CHARMS!$A$6:$CQ$89,48,))</f>
        <v>Logistic regression</v>
      </c>
      <c r="D8" s="393">
        <f>IF($A8="","",IF(HLOOKUP($A8,CHARMS!$A$6:$CQ$89,40,)=0,"Unkown",HLOOKUP($A8,CHARMS!$A$6:$CQ$89,40,)))</f>
        <v>440</v>
      </c>
      <c r="E8" s="389" t="str">
        <f>IF($A8="","",IF(HLOOKUP($A8,CHARMS!$A$6:$CQ$89,40,)=0,"Unkown",CONCATENATE(HLOOKUP($A8,CHARMS!$A$6:$CQ$89,41,)," (",FIXED((HLOOKUP($A8,CHARMS!$A$6:$CQ$89,41,)/HLOOKUP($A8,CHARMS!$A$6:$CQ$89,40,))*100,1),")")))</f>
        <v>40 (9.1)</v>
      </c>
      <c r="F8" s="389">
        <f>IF($A8="","",IF(HLOOKUP($A8,CHARMS!$A$6:$CQ$89,33,)=0,"Unkown",HLOOKUP($A8,CHARMS!$A$6:$CQ$89,33,)))</f>
        <v>19</v>
      </c>
      <c r="G8" s="389">
        <f>IF($A8="","",HLOOKUP($A8,CHARMS!$A$6:$CQ$89,79,))</f>
        <v>6</v>
      </c>
      <c r="H8" s="391">
        <f>IF($A8="","",HLOOKUP($A8,CHARMS!$A$6:$CQ$89,43,))</f>
        <v>2.1052631578947367</v>
      </c>
      <c r="I8" s="389" t="str">
        <f>IF($A8="","",HLOOKUP($A8,CHARMS!$A$6:$CQ$89,49,))</f>
        <v>Based on univariable associations</v>
      </c>
      <c r="J8" s="389" t="str">
        <f>IF($A8="","",HLOOKUP($A8,CHARMS!$A$6:$CQ$89,50,))</f>
        <v>No information</v>
      </c>
      <c r="K8" s="389" t="str">
        <f>CONCATENATE(IF($A8="","",IF(OR(HLOOKUP($A8,CHARMS!$A$6:$CQ$89,40,)=0,ISTEXT(HLOOKUP($A8,CHARMS!$A$6:$CQ$89,45,))),"n (%): Unkown",CONCATENATE("n (%): ",HLOOKUP($A8,CHARMS!$A$6:$CQ$89,45,)," (",FIXED((HLOOKUP($A8,CHARMS!$A$6:$CQ$89,45,)/HLOOKUP($A8,CHARMS!$A$6:$CQ$89,40,))*100,1),")"))),CHAR(10),IF($A8="","",CONCATENATE("Method: ",HLOOKUP($A8,CHARMS!$A$6:$CQ$89,46,))))</f>
        <v>n (%): 22 (5.0)
Method: No information</v>
      </c>
      <c r="L8" s="391" t="str">
        <f>IF($A8="","",CONCATENATE("Int: ",HLOOKUP($A8,CHARMS!$A$6:$CQ$89,75,),CHAR(10),"Ext : ",HLOOKUP($A8,CHARMS!$A$6:$CQ$89,76,)))</f>
        <v>Int: None (Apparent performance)
Ext : None</v>
      </c>
      <c r="M8" s="391" t="str">
        <f>IF($A8="","",CONCATENATE("Cal: ",HLOOKUP($A8,CHARMS!$A$6:$CQ$89,53,),CHAR(10),"Disc : ",HLOOKUP($A8,CHARMS!$A$6:$CQ$89,59,),CHAR(10),"Ov: ",HLOOKUP($A8,CHARMS!$A$6:$CQ$89,66,)))</f>
        <v>Cal: HL test 
Disc : C-Statistic / AUC graph 
Ov: Not evaluated</v>
      </c>
      <c r="N8" s="136" t="s">
        <v>30</v>
      </c>
      <c r="O8" s="137" t="str">
        <f>_xlfn.IFNA(IF(HLOOKUP($A8,PROBAST!$A$6:$AE$77,11,)="Low RoB","+",IF(HLOOKUP($A8,PROBAST!$A$6:$AE$77,11,)="High RoB","-",IF(HLOOKUP($A8,PROBAST!$A$6:$AE$77,11,)="Unclear","?",""))),"")</f>
        <v>+</v>
      </c>
      <c r="P8" s="137" t="str">
        <f>_xlfn.IFNA(IF(HLOOKUP($A8,PROBAST!$A$6:$AE$77,25,)="Low RoB","+",IF(HLOOKUP($A8,PROBAST!$A$6:$AE$77,25,)="High RoB","-",IF(HLOOKUP($A8,PROBAST!$A$6:$AE$77,25,)="Unclear","?",""))),"")</f>
        <v>+</v>
      </c>
      <c r="Q8" s="137" t="str">
        <f>_xlfn.IFNA(IF(HLOOKUP($A8,PROBAST!$A$6:$AE$77,39,)="Low RoB","+",IF(HLOOKUP($A8,PROBAST!$A$6:$AE$77,39,)="High RoB","-",IF(HLOOKUP($A8,PROBAST!$A$6:$AE$77,39,)="Unclear","?",""))),"")</f>
        <v>+</v>
      </c>
      <c r="R8" s="138" t="str">
        <f>_xlfn.IFNA(IF(HLOOKUP($A8,PROBAST!$A$6:$AE$77,58,)="Low RoB","+",IF(HLOOKUP($A8,PROBAST!$A$6:$AE$77,58,)="High RoB","-",IF(HLOOKUP($A8,PROBAST!$A$6:$AE$77,58,)="Unclear","?",""))),"")</f>
        <v>+</v>
      </c>
      <c r="S8" s="139"/>
      <c r="T8" s="139"/>
      <c r="U8" s="139"/>
      <c r="V8" s="139"/>
      <c r="W8" s="139"/>
    </row>
    <row r="9" spans="1:23" ht="22.5" customHeight="1" thickBot="1" x14ac:dyDescent="0.3">
      <c r="A9" s="395"/>
      <c r="B9" s="397"/>
      <c r="C9" s="390"/>
      <c r="D9" s="394"/>
      <c r="E9" s="390"/>
      <c r="F9" s="390"/>
      <c r="G9" s="390"/>
      <c r="H9" s="392"/>
      <c r="I9" s="390"/>
      <c r="J9" s="390"/>
      <c r="K9" s="399"/>
      <c r="L9" s="392"/>
      <c r="M9" s="392"/>
      <c r="N9" s="141" t="s">
        <v>29</v>
      </c>
      <c r="O9" s="142" t="str">
        <f>_xlfn.IFNA(IF(HLOOKUP($A8,PROBAST!$A$6:$AE$77,12,)="Low concern","+",IF(HLOOKUP($A8,PROBAST!$A$6:$AE$77,12,)="High concern","-",IF(HLOOKUP($A8,PROBAST!$A$6:$AE$77,12,)="Unclear","?",""))),"")</f>
        <v>+</v>
      </c>
      <c r="P9" s="142" t="str">
        <f>_xlfn.IFNA(IF(HLOOKUP($A8,PROBAST!$A$6:$AE$77,26,)="Low concern","+",IF(HLOOKUP($A8,PROBAST!$A$6:$AE$77,26,)="High concern","-",IF(HLOOKUP($A8,PROBAST!$A$6:$AE$77,26,)="Unclear","?",""))),"")</f>
        <v>+</v>
      </c>
      <c r="Q9" s="142" t="str">
        <f>_xlfn.IFNA(IF(HLOOKUP($A8,PROBAST!$A$6:$AE$77,40,)="Low concern","+",IF(HLOOKUP($A8,PROBAST!$A$6:$AE$77,40,)="High concern","-",IF(HLOOKUP($A8,PROBAST!$A$6:$AE$77,40,)="Unclear","?",""))),"")</f>
        <v>+</v>
      </c>
      <c r="R9" s="143"/>
    </row>
    <row r="10" spans="1:23" s="140" customFormat="1" ht="22.5" customHeight="1" x14ac:dyDescent="0.25">
      <c r="A10" s="395" t="str">
        <f>CHARMS!L$6</f>
        <v>Cheng-Peng Gui, 2021</v>
      </c>
      <c r="B10" s="396" t="str">
        <f>HLOOKUP($A10,CHARMS!$A$6:$CQ$89,1,)</f>
        <v>Cheng-Peng Gui, 2021</v>
      </c>
      <c r="C10" s="389" t="str">
        <f>IF($A10="","",HLOOKUP($A10,CHARMS!$A$6:$CQ$89,48,))</f>
        <v>Logistic regression</v>
      </c>
      <c r="D10" s="393">
        <f>IF($A10="","",IF(HLOOKUP($A10,CHARMS!$A$6:$CQ$89,40,)=0,"Unkown",HLOOKUP($A10,CHARMS!$A$6:$CQ$89,40,)))</f>
        <v>437</v>
      </c>
      <c r="E10" s="389" t="str">
        <f>IF($A10="","",IF(HLOOKUP($A10,CHARMS!$A$6:$CQ$89,40,)=0,"Unkown",CONCATENATE(HLOOKUP($A10,CHARMS!$A$6:$CQ$89,41,)," (",FIXED((HLOOKUP($A10,CHARMS!$A$6:$CQ$89,41,)/HLOOKUP($A10,CHARMS!$A$6:$CQ$89,40,))*100,1),")")))</f>
        <v>106 (24.3)</v>
      </c>
      <c r="F10" s="389" t="str">
        <f>IF($A10="","",IF(HLOOKUP($A10,CHARMS!$A$6:$CQ$89,33,)=0,"Unkown",HLOOKUP($A10,CHARMS!$A$6:$CQ$89,33,)))</f>
        <v>Unkown</v>
      </c>
      <c r="G10" s="389">
        <f>IF($A10="","",HLOOKUP($A10,CHARMS!$A$6:$CQ$89,79,))</f>
        <v>7</v>
      </c>
      <c r="H10" s="391" t="str">
        <f>IF($A10="","",HLOOKUP($A10,CHARMS!$A$6:$CQ$89,43,))</f>
        <v>Unknown</v>
      </c>
      <c r="I10" s="389" t="str">
        <f>IF($A10="","",HLOOKUP($A10,CHARMS!$A$6:$CQ$89,49,))</f>
        <v>Based on univariable associations</v>
      </c>
      <c r="J10" s="389" t="str">
        <f>IF($A10="","",HLOOKUP($A10,CHARMS!$A$6:$CQ$89,50,))</f>
        <v>Stepwise selection</v>
      </c>
      <c r="K10" s="389" t="str">
        <f>CONCATENATE(IF($A10="","",IF(OR(HLOOKUP($A10,CHARMS!$A$6:$CQ$89,40,)=0,ISTEXT(HLOOKUP($A10,CHARMS!$A$6:$CQ$89,45,))),"n (%): Unkown",CONCATENATE("n (%): ",HLOOKUP($A10,CHARMS!$A$6:$CQ$89,45,)," (",FIXED((HLOOKUP($A10,CHARMS!$A$6:$CQ$89,45,)/HLOOKUP($A10,CHARMS!$A$6:$CQ$89,40,))*100,1),")"))),CHAR(10),IF($A10="","",CONCATENATE("Method: ",HLOOKUP($A10,CHARMS!$A$6:$CQ$89,46,))))</f>
        <v>n (%): Unkown
Method: No information</v>
      </c>
      <c r="L10" s="391" t="str">
        <f>IF($A10="","",CONCATENATE("Int: ",HLOOKUP($A10,CHARMS!$A$6:$CQ$89,75,),CHAR(10),"Ext : ",HLOOKUP($A10,CHARMS!$A$6:$CQ$89,76,)))</f>
        <v>Int: None (Apparent performance)
Ext : None</v>
      </c>
      <c r="M10" s="391" t="str">
        <f>IF($A10="","",CONCATENATE("Cal: ",HLOOKUP($A10,CHARMS!$A$6:$CQ$89,53,),CHAR(10),"Disc : ",HLOOKUP($A10,CHARMS!$A$6:$CQ$89,59,),CHAR(10),"Ov: ",HLOOKUP($A10,CHARMS!$A$6:$CQ$89,66,)))</f>
        <v>Cal: HL test 
Disc : C-Statistic / AUC graph 
Ov: Not evaluated</v>
      </c>
      <c r="N10" s="136" t="s">
        <v>30</v>
      </c>
      <c r="O10" s="137" t="str">
        <f>_xlfn.IFNA(IF(HLOOKUP($A10,PROBAST!$A$6:$AE$77,11,)="Low RoB","+",IF(HLOOKUP($A10,PROBAST!$A$6:$AE$77,11,)="High RoB","-",IF(HLOOKUP($A10,PROBAST!$A$6:$AE$77,11,)="Unclear","?",""))),"")</f>
        <v>-</v>
      </c>
      <c r="P10" s="137" t="str">
        <f>_xlfn.IFNA(IF(HLOOKUP($A10,PROBAST!$A$6:$AE$77,25,)="Low RoB","+",IF(HLOOKUP($A10,PROBAST!$A$6:$AE$77,25,)="High RoB","-",IF(HLOOKUP($A10,PROBAST!$A$6:$AE$77,25,)="Unclear","?",""))),"")</f>
        <v>+</v>
      </c>
      <c r="Q10" s="137" t="str">
        <f>_xlfn.IFNA(IF(HLOOKUP($A10,PROBAST!$A$6:$AE$77,39,)="Low RoB","+",IF(HLOOKUP($A10,PROBAST!$A$6:$AE$77,39,)="High RoB","-",IF(HLOOKUP($A10,PROBAST!$A$6:$AE$77,39,)="Unclear","?",""))),"")</f>
        <v>+</v>
      </c>
      <c r="R10" s="138" t="str">
        <f>_xlfn.IFNA(IF(HLOOKUP($A10,PROBAST!$A$6:$AE$77,58,)="Low RoB","+",IF(HLOOKUP($A10,PROBAST!$A$6:$AE$77,58,)="High RoB","-",IF(HLOOKUP($A10,PROBAST!$A$6:$AE$77,58,)="Unclear","?",""))),"")</f>
        <v>?</v>
      </c>
      <c r="S10" s="139"/>
      <c r="T10" s="139"/>
      <c r="U10" s="139"/>
      <c r="V10" s="139"/>
      <c r="W10" s="139"/>
    </row>
    <row r="11" spans="1:23" ht="22.5" customHeight="1" thickBot="1" x14ac:dyDescent="0.3">
      <c r="A11" s="395"/>
      <c r="B11" s="397"/>
      <c r="C11" s="390"/>
      <c r="D11" s="394"/>
      <c r="E11" s="390"/>
      <c r="F11" s="390"/>
      <c r="G11" s="390"/>
      <c r="H11" s="392"/>
      <c r="I11" s="390"/>
      <c r="J11" s="390"/>
      <c r="K11" s="399"/>
      <c r="L11" s="392"/>
      <c r="M11" s="392"/>
      <c r="N11" s="141" t="s">
        <v>29</v>
      </c>
      <c r="O11" s="142" t="str">
        <f>_xlfn.IFNA(IF(HLOOKUP($A10,PROBAST!$A$6:$AE$77,12,)="Low concern","+",IF(HLOOKUP($A10,PROBAST!$A$6:$AE$77,12,)="High concern","-",IF(HLOOKUP($A10,PROBAST!$A$6:$AE$77,12,)="Unclear","?",""))),"")</f>
        <v>+</v>
      </c>
      <c r="P11" s="142" t="str">
        <f>_xlfn.IFNA(IF(HLOOKUP($A10,PROBAST!$A$6:$AE$77,26,)="Low concern","+",IF(HLOOKUP($A10,PROBAST!$A$6:$AE$77,26,)="High concern","-",IF(HLOOKUP($A10,PROBAST!$A$6:$AE$77,26,)="Unclear","?",""))),"")</f>
        <v>+</v>
      </c>
      <c r="Q11" s="142" t="str">
        <f>_xlfn.IFNA(IF(HLOOKUP($A10,PROBAST!$A$6:$AE$77,40,)="Low concern","+",IF(HLOOKUP($A10,PROBAST!$A$6:$AE$77,40,)="High concern","-",IF(HLOOKUP($A10,PROBAST!$A$6:$AE$77,40,)="Unclear","?",""))),"")</f>
        <v>+</v>
      </c>
      <c r="R11" s="143"/>
    </row>
    <row r="12" spans="1:23" s="140" customFormat="1" ht="22.5" customHeight="1" x14ac:dyDescent="0.25">
      <c r="A12" s="395" t="str">
        <f>CHARMS!O$6</f>
        <v>Yifan Liu, 2020</v>
      </c>
      <c r="B12" s="396" t="str">
        <f>HLOOKUP($A12,CHARMS!$A$6:$CQ$89,1,)</f>
        <v>Yifan Liu, 2020</v>
      </c>
      <c r="C12" s="389" t="str">
        <f>IF($A12="","",HLOOKUP($A12,CHARMS!$A$6:$CQ$89,48,))</f>
        <v>Logistic regression</v>
      </c>
      <c r="D12" s="393">
        <f>IF($A12="","",IF(HLOOKUP($A12,CHARMS!$A$6:$CQ$89,40,)=0,"Unkown",HLOOKUP($A12,CHARMS!$A$6:$CQ$89,40,)))</f>
        <v>128</v>
      </c>
      <c r="E12" s="389" t="str">
        <f>IF($A12="","",IF(HLOOKUP($A12,CHARMS!$A$6:$CQ$89,40,)=0,"Unkown",CONCATENATE(HLOOKUP($A12,CHARMS!$A$6:$CQ$89,41,)," (",FIXED((HLOOKUP($A12,CHARMS!$A$6:$CQ$89,41,)/HLOOKUP($A12,CHARMS!$A$6:$CQ$89,40,))*100,1),")")))</f>
        <v>21 (16.4)</v>
      </c>
      <c r="F12" s="389">
        <f>IF($A12="","",IF(HLOOKUP($A12,CHARMS!$A$6:$CQ$89,33,)=0,"Unkown",HLOOKUP($A12,CHARMS!$A$6:$CQ$89,33,)))</f>
        <v>15</v>
      </c>
      <c r="G12" s="389">
        <f>IF($A12="","",HLOOKUP($A12,CHARMS!$A$6:$CQ$89,79,))</f>
        <v>2</v>
      </c>
      <c r="H12" s="391">
        <f>IF($A12="","",HLOOKUP($A12,CHARMS!$A$6:$CQ$89,43,))</f>
        <v>1.4</v>
      </c>
      <c r="I12" s="389" t="str">
        <f>IF($A12="","",HLOOKUP($A12,CHARMS!$A$6:$CQ$89,49,))</f>
        <v>Based on univariable associations</v>
      </c>
      <c r="J12" s="389" t="str">
        <f>IF($A12="","",HLOOKUP($A12,CHARMS!$A$6:$CQ$89,50,))</f>
        <v>No information</v>
      </c>
      <c r="K12" s="389" t="str">
        <f>CONCATENATE(IF($A12="","",IF(OR(HLOOKUP($A12,CHARMS!$A$6:$CQ$89,40,)=0,ISTEXT(HLOOKUP($A12,CHARMS!$A$6:$CQ$89,45,))),"n (%): Unkown",CONCATENATE("n (%): ",HLOOKUP($A12,CHARMS!$A$6:$CQ$89,45,)," (",FIXED((HLOOKUP($A12,CHARMS!$A$6:$CQ$89,45,)/HLOOKUP($A12,CHARMS!$A$6:$CQ$89,40,))*100,1),")"))),CHAR(10),IF($A12="","",CONCATENATE("Method: ",HLOOKUP($A12,CHARMS!$A$6:$CQ$89,46,))))</f>
        <v>n (%): Unkown
Method: No information</v>
      </c>
      <c r="L12" s="391" t="str">
        <f>IF($A12="","",CONCATENATE("Int: ",HLOOKUP($A12,CHARMS!$A$6:$CQ$89,75,),CHAR(10),"Ext : ",HLOOKUP($A12,CHARMS!$A$6:$CQ$89,76,)))</f>
        <v>Int: None (Apparent performance)
Ext : None</v>
      </c>
      <c r="M12" s="391" t="str">
        <f>IF($A12="","",CONCATENATE("Cal: ",HLOOKUP($A12,CHARMS!$A$6:$CQ$89,53,),CHAR(10),"Disc : ",HLOOKUP($A12,CHARMS!$A$6:$CQ$89,59,),CHAR(10),"Ov: ",HLOOKUP($A12,CHARMS!$A$6:$CQ$89,66,)))</f>
        <v xml:space="preserve">Cal: Calibration plot / Slope / CITL / HL test 
Disc : C-Statistic / AUC graph 
Ov: Brier score </v>
      </c>
      <c r="N12" s="136" t="s">
        <v>30</v>
      </c>
      <c r="O12" s="137" t="str">
        <f>_xlfn.IFNA(IF(HLOOKUP($A12,PROBAST!$A$6:$AE$77,11,)="Low RoB","+",IF(HLOOKUP($A12,PROBAST!$A$6:$AE$77,11,)="High RoB","-",IF(HLOOKUP($A12,PROBAST!$A$6:$AE$77,11,)="Unclear","?",""))),"")</f>
        <v>+</v>
      </c>
      <c r="P12" s="137" t="str">
        <f>_xlfn.IFNA(IF(HLOOKUP($A12,PROBAST!$A$6:$AE$77,25,)="Low RoB","+",IF(HLOOKUP($A12,PROBAST!$A$6:$AE$77,25,)="High RoB","-",IF(HLOOKUP($A12,PROBAST!$A$6:$AE$77,25,)="Unclear","?",""))),"")</f>
        <v>+</v>
      </c>
      <c r="Q12" s="137" t="str">
        <f>_xlfn.IFNA(IF(HLOOKUP($A12,PROBAST!$A$6:$AE$77,39,)="Low RoB","+",IF(HLOOKUP($A12,PROBAST!$A$6:$AE$77,39,)="High RoB","-",IF(HLOOKUP($A12,PROBAST!$A$6:$AE$77,39,)="Unclear","?",""))),"")</f>
        <v>?</v>
      </c>
      <c r="R12" s="138" t="str">
        <f>_xlfn.IFNA(IF(HLOOKUP($A12,PROBAST!$A$6:$AE$77,58,)="Low RoB","+",IF(HLOOKUP($A12,PROBAST!$A$6:$AE$77,58,)="High RoB","-",IF(HLOOKUP($A12,PROBAST!$A$6:$AE$77,58,)="Unclear","?",""))),"")</f>
        <v>?</v>
      </c>
      <c r="S12" s="139"/>
      <c r="T12" s="139"/>
      <c r="U12" s="139"/>
      <c r="V12" s="139"/>
      <c r="W12" s="139"/>
    </row>
    <row r="13" spans="1:23" ht="22.5" customHeight="1" thickBot="1" x14ac:dyDescent="0.3">
      <c r="A13" s="395"/>
      <c r="B13" s="397"/>
      <c r="C13" s="390"/>
      <c r="D13" s="394"/>
      <c r="E13" s="390"/>
      <c r="F13" s="390"/>
      <c r="G13" s="390"/>
      <c r="H13" s="392"/>
      <c r="I13" s="390"/>
      <c r="J13" s="390"/>
      <c r="K13" s="399"/>
      <c r="L13" s="392"/>
      <c r="M13" s="392"/>
      <c r="N13" s="141" t="s">
        <v>29</v>
      </c>
      <c r="O13" s="142" t="str">
        <f>_xlfn.IFNA(IF(HLOOKUP($A12,PROBAST!$A$6:$AE$77,12,)="Low concern","+",IF(HLOOKUP($A12,PROBAST!$A$6:$AE$77,12,)="High concern","-",IF(HLOOKUP($A12,PROBAST!$A$6:$AE$77,12,)="Unclear","?",""))),"")</f>
        <v>+</v>
      </c>
      <c r="P13" s="142" t="str">
        <f>_xlfn.IFNA(IF(HLOOKUP($A12,PROBAST!$A$6:$AE$77,26,)="Low concern","+",IF(HLOOKUP($A12,PROBAST!$A$6:$AE$77,26,)="High concern","-",IF(HLOOKUP($A12,PROBAST!$A$6:$AE$77,26,)="Unclear","?",""))),"")</f>
        <v>+</v>
      </c>
      <c r="Q13" s="142" t="str">
        <f>_xlfn.IFNA(IF(HLOOKUP($A12,PROBAST!$A$6:$AE$77,40,)="Low concern","+",IF(HLOOKUP($A12,PROBAST!$A$6:$AE$77,40,)="High concern","-",IF(HLOOKUP($A12,PROBAST!$A$6:$AE$77,40,)="Unclear","?",""))),"")</f>
        <v>+</v>
      </c>
      <c r="R13" s="143"/>
      <c r="V13" s="139"/>
    </row>
    <row r="14" spans="1:23" s="140" customFormat="1" ht="22.5" customHeight="1" x14ac:dyDescent="0.25">
      <c r="A14" s="395" t="e">
        <f>CHARMS!R$6</f>
        <v>#REF!</v>
      </c>
      <c r="B14" s="396" t="e">
        <f>HLOOKUP($A14,CHARMS!$A$6:$CQ$89,1,)</f>
        <v>#REF!</v>
      </c>
      <c r="C14" s="389" t="e">
        <f>IF($A14="","",HLOOKUP($A14,CHARMS!$A$6:$CQ$89,48,))</f>
        <v>#REF!</v>
      </c>
      <c r="D14" s="393" t="e">
        <f>IF($A14="","",IF(HLOOKUP($A14,CHARMS!$A$6:$CQ$89,40,)=0,"Unkown",HLOOKUP($A14,CHARMS!$A$6:$CQ$89,40,)))</f>
        <v>#REF!</v>
      </c>
      <c r="E14" s="389" t="e">
        <f>IF($A14="","",IF(HLOOKUP($A14,CHARMS!$A$6:$CQ$89,40,)=0,"Unkown",CONCATENATE(HLOOKUP($A14,CHARMS!$A$6:$CQ$89,41,)," (",FIXED((HLOOKUP($A14,CHARMS!$A$6:$CQ$89,41,)/HLOOKUP($A14,CHARMS!$A$6:$CQ$89,40,))*100,1),")")))</f>
        <v>#REF!</v>
      </c>
      <c r="F14" s="389" t="e">
        <f>IF($A14="","",IF(HLOOKUP($A14,CHARMS!$A$6:$CQ$89,33,)=0,"Unkown",HLOOKUP($A14,CHARMS!$A$6:$CQ$89,33,)))</f>
        <v>#REF!</v>
      </c>
      <c r="G14" s="389" t="e">
        <f>IF($A14="","",HLOOKUP($A14,CHARMS!$A$6:$CQ$89,79,))</f>
        <v>#REF!</v>
      </c>
      <c r="H14" s="391" t="e">
        <f>IF($A14="","",HLOOKUP($A14,CHARMS!$A$6:$CQ$89,43,))</f>
        <v>#REF!</v>
      </c>
      <c r="I14" s="389" t="e">
        <f>IF($A14="","",HLOOKUP($A14,CHARMS!$A$6:$CQ$89,49,))</f>
        <v>#REF!</v>
      </c>
      <c r="J14" s="389" t="e">
        <f>IF($A14="","",HLOOKUP($A14,CHARMS!$A$6:$CQ$89,50,))</f>
        <v>#REF!</v>
      </c>
      <c r="K14" s="389" t="e">
        <f>CONCATENATE(IF($A14="","",IF(OR(HLOOKUP($A14,CHARMS!$A$6:$CQ$89,40,)=0,ISTEXT(HLOOKUP($A14,CHARMS!$A$6:$CQ$89,45,))),"n (%): Unkown",CONCATENATE("n (%): ",HLOOKUP($A14,CHARMS!$A$6:$CQ$89,45,)," (",FIXED((HLOOKUP($A14,CHARMS!$A$6:$CQ$89,45,)/HLOOKUP($A14,CHARMS!$A$6:$CQ$89,40,))*100,1),")"))),CHAR(10),IF($A14="","",CONCATENATE("Method: ",HLOOKUP($A14,CHARMS!$A$6:$CQ$89,46,))))</f>
        <v>#REF!</v>
      </c>
      <c r="L14" s="391" t="e">
        <f>IF($A14="","",CONCATENATE("Int: ",HLOOKUP($A14,CHARMS!$A$6:$CQ$89,75,),CHAR(10),"Ext : ",HLOOKUP($A14,CHARMS!$A$6:$CQ$89,76,)))</f>
        <v>#REF!</v>
      </c>
      <c r="M14" s="391" t="e">
        <f>IF($A14="","",CONCATENATE("Cal: ",HLOOKUP($A14,CHARMS!$A$6:$CQ$89,53,),CHAR(10),"Disc : ",HLOOKUP($A14,CHARMS!$A$6:$CQ$89,59,),CHAR(10),"Ov: ",HLOOKUP($A14,CHARMS!$A$6:$CQ$89,66,)))</f>
        <v>#REF!</v>
      </c>
      <c r="N14" s="136" t="s">
        <v>30</v>
      </c>
      <c r="O14" s="137" t="e">
        <f>_xlfn.IFNA(IF(HLOOKUP($A14,PROBAST!$A$6:$AE$77,11,)="Low RoB","+",IF(HLOOKUP($A14,PROBAST!$A$6:$AE$77,11,)="High RoB","-",IF(HLOOKUP($A14,PROBAST!$A$6:$AE$77,11,)="Unclear","?",""))),"")</f>
        <v>#REF!</v>
      </c>
      <c r="P14" s="137" t="e">
        <f>_xlfn.IFNA(IF(HLOOKUP($A14,PROBAST!$A$6:$AE$77,25,)="Low RoB","+",IF(HLOOKUP($A14,PROBAST!$A$6:$AE$77,25,)="High RoB","-",IF(HLOOKUP($A14,PROBAST!$A$6:$AE$77,25,)="Unclear","?",""))),"")</f>
        <v>#REF!</v>
      </c>
      <c r="Q14" s="137" t="e">
        <f>_xlfn.IFNA(IF(HLOOKUP($A14,PROBAST!$A$6:$AE$77,39,)="Low RoB","+",IF(HLOOKUP($A14,PROBAST!$A$6:$AE$77,39,)="High RoB","-",IF(HLOOKUP($A14,PROBAST!$A$6:$AE$77,39,)="Unclear","?",""))),"")</f>
        <v>#REF!</v>
      </c>
      <c r="R14" s="138" t="e">
        <f>_xlfn.IFNA(IF(HLOOKUP($A14,PROBAST!$A$6:$AE$77,58,)="Low RoB","+",IF(HLOOKUP($A14,PROBAST!$A$6:$AE$77,58,)="High RoB","-",IF(HLOOKUP($A14,PROBAST!$A$6:$AE$77,58,)="Unclear","?",""))),"")</f>
        <v>#REF!</v>
      </c>
      <c r="S14" s="139"/>
      <c r="T14" s="139"/>
      <c r="U14" s="139"/>
      <c r="V14" s="139"/>
      <c r="W14" s="139"/>
    </row>
    <row r="15" spans="1:23" ht="22.5" customHeight="1" thickBot="1" x14ac:dyDescent="0.3">
      <c r="A15" s="395"/>
      <c r="B15" s="397"/>
      <c r="C15" s="390"/>
      <c r="D15" s="394"/>
      <c r="E15" s="390"/>
      <c r="F15" s="390"/>
      <c r="G15" s="390"/>
      <c r="H15" s="392"/>
      <c r="I15" s="390"/>
      <c r="J15" s="390"/>
      <c r="K15" s="399"/>
      <c r="L15" s="392"/>
      <c r="M15" s="392"/>
      <c r="N15" s="141" t="s">
        <v>29</v>
      </c>
      <c r="O15" s="142" t="e">
        <f>_xlfn.IFNA(IF(HLOOKUP($A14,PROBAST!$A$6:$AE$77,12,)="Low concern","+",IF(HLOOKUP($A14,PROBAST!$A$6:$AE$77,12,)="High concern","-",IF(HLOOKUP($A14,PROBAST!$A$6:$AE$77,12,)="Unclear","?",""))),"")</f>
        <v>#REF!</v>
      </c>
      <c r="P15" s="142" t="e">
        <f>_xlfn.IFNA(IF(HLOOKUP($A14,PROBAST!$A$6:$AE$77,26,)="Low concern","+",IF(HLOOKUP($A14,PROBAST!$A$6:$AE$77,26,)="High concern","-",IF(HLOOKUP($A14,PROBAST!$A$6:$AE$77,26,)="Unclear","?",""))),"")</f>
        <v>#REF!</v>
      </c>
      <c r="Q15" s="142" t="e">
        <f>_xlfn.IFNA(IF(HLOOKUP($A14,PROBAST!$A$6:$AE$77,40,)="Low concern","+",IF(HLOOKUP($A14,PROBAST!$A$6:$AE$77,40,)="High concern","-",IF(HLOOKUP($A14,PROBAST!$A$6:$AE$77,40,)="Unclear","?",""))),"")</f>
        <v>#REF!</v>
      </c>
      <c r="R15" s="143"/>
    </row>
    <row r="16" spans="1:23" s="140" customFormat="1" ht="22.5" customHeight="1" x14ac:dyDescent="0.25">
      <c r="A16" s="395" t="str">
        <f>CHARMS!U$6</f>
        <v>Jia Li, 2022</v>
      </c>
      <c r="B16" s="396" t="str">
        <f>HLOOKUP($A16,CHARMS!$A$6:$CQ$89,1,)</f>
        <v>Jia Li, 2022</v>
      </c>
      <c r="C16" s="389" t="str">
        <f>IF($A16="","",HLOOKUP($A16,CHARMS!$A$6:$CQ$89,48,))</f>
        <v>Logistic regression</v>
      </c>
      <c r="D16" s="393">
        <f>IF($A16="","",IF(HLOOKUP($A16,CHARMS!$A$6:$CQ$89,40,)=0,"Unkown",HLOOKUP($A16,CHARMS!$A$6:$CQ$89,40,)))</f>
        <v>361</v>
      </c>
      <c r="E16" s="389" t="str">
        <f>IF($A16="","",IF(HLOOKUP($A16,CHARMS!$A$6:$CQ$89,40,)=0,"Unkown",CONCATENATE(HLOOKUP($A16,CHARMS!$A$6:$CQ$89,41,)," (",FIXED((HLOOKUP($A16,CHARMS!$A$6:$CQ$89,41,)/HLOOKUP($A16,CHARMS!$A$6:$CQ$89,40,))*100,1),")")))</f>
        <v>56 (15.5)</v>
      </c>
      <c r="F16" s="389">
        <f>IF($A16="","",IF(HLOOKUP($A16,CHARMS!$A$6:$CQ$89,33,)=0,"Unkown",HLOOKUP($A16,CHARMS!$A$6:$CQ$89,33,)))</f>
        <v>57</v>
      </c>
      <c r="G16" s="389">
        <f>IF($A16="","",HLOOKUP($A16,CHARMS!$A$6:$CQ$89,79,))</f>
        <v>3</v>
      </c>
      <c r="H16" s="391">
        <f>IF($A16="","",HLOOKUP($A16,CHARMS!$A$6:$CQ$89,43,))</f>
        <v>0.98245614035087714</v>
      </c>
      <c r="I16" s="389" t="str">
        <f>IF($A16="","",HLOOKUP($A16,CHARMS!$A$6:$CQ$89,49,))</f>
        <v>Based on univariable associations</v>
      </c>
      <c r="J16" s="389" t="str">
        <f>IF($A16="","",HLOOKUP($A16,CHARMS!$A$6:$CQ$89,50,))</f>
        <v>Backward elimination</v>
      </c>
      <c r="K16" s="389" t="str">
        <f>CONCATENATE(IF($A16="","",IF(OR(HLOOKUP($A16,CHARMS!$A$6:$CQ$89,40,)=0,ISTEXT(HLOOKUP($A16,CHARMS!$A$6:$CQ$89,45,))),"n (%): Unkown",CONCATENATE("n (%): ",HLOOKUP($A16,CHARMS!$A$6:$CQ$89,45,)," (",FIXED((HLOOKUP($A16,CHARMS!$A$6:$CQ$89,45,)/HLOOKUP($A16,CHARMS!$A$6:$CQ$89,40,))*100,1),")"))),CHAR(10),IF($A16="","",CONCATENATE("Method: ",HLOOKUP($A16,CHARMS!$A$6:$CQ$89,46,))))</f>
        <v>n (%): Unkown
Method: No information</v>
      </c>
      <c r="L16" s="391" t="str">
        <f>IF($A16="","",CONCATENATE("Int: ",HLOOKUP($A16,CHARMS!$A$6:$CQ$89,75,),CHAR(10),"Ext : ",HLOOKUP($A16,CHARMS!$A$6:$CQ$89,76,)))</f>
        <v>Int: Bootstrap
Ext : None</v>
      </c>
      <c r="M16" s="391" t="str">
        <f>IF($A16="","",CONCATENATE("Cal: ",HLOOKUP($A16,CHARMS!$A$6:$CQ$89,53,),CHAR(10),"Disc : ",HLOOKUP($A16,CHARMS!$A$6:$CQ$89,59,),CHAR(10),"Ov: ",HLOOKUP($A16,CHARMS!$A$6:$CQ$89,66,)))</f>
        <v>Cal: HL test 
Disc : C-Statistic / AUC graph 
Ov: Not evaluated</v>
      </c>
      <c r="N16" s="136" t="s">
        <v>30</v>
      </c>
      <c r="O16" s="137" t="str">
        <f>_xlfn.IFNA(IF(HLOOKUP($A16,PROBAST!$A$6:$AE$77,11,)="Low RoB","+",IF(HLOOKUP($A16,PROBAST!$A$6:$AE$77,11,)="High RoB","-",IF(HLOOKUP($A16,PROBAST!$A$6:$AE$77,11,)="Unclear","?",""))),"")</f>
        <v>+</v>
      </c>
      <c r="P16" s="137" t="str">
        <f>_xlfn.IFNA(IF(HLOOKUP($A16,PROBAST!$A$6:$AE$77,25,)="Low RoB","+",IF(HLOOKUP($A16,PROBAST!$A$6:$AE$77,25,)="High RoB","-",IF(HLOOKUP($A16,PROBAST!$A$6:$AE$77,25,)="Unclear","?",""))),"")</f>
        <v>+</v>
      </c>
      <c r="Q16" s="137" t="str">
        <f>_xlfn.IFNA(IF(HLOOKUP($A16,PROBAST!$A$6:$AE$77,39,)="Low RoB","+",IF(HLOOKUP($A16,PROBAST!$A$6:$AE$77,39,)="High RoB","-",IF(HLOOKUP($A16,PROBAST!$A$6:$AE$77,39,)="Unclear","?",""))),"")</f>
        <v>+</v>
      </c>
      <c r="R16" s="138" t="str">
        <f>_xlfn.IFNA(IF(HLOOKUP($A16,PROBAST!$A$6:$AE$77,58,)="Low RoB","+",IF(HLOOKUP($A16,PROBAST!$A$6:$AE$77,58,)="High RoB","-",IF(HLOOKUP($A16,PROBAST!$A$6:$AE$77,58,)="Unclear","?",""))),"")</f>
        <v>-</v>
      </c>
      <c r="S16" s="139"/>
      <c r="T16" s="139"/>
      <c r="U16" s="139"/>
      <c r="V16" s="139"/>
      <c r="W16" s="139"/>
    </row>
    <row r="17" spans="1:23" ht="22.5" customHeight="1" thickBot="1" x14ac:dyDescent="0.3">
      <c r="A17" s="395"/>
      <c r="B17" s="397"/>
      <c r="C17" s="390"/>
      <c r="D17" s="394"/>
      <c r="E17" s="390"/>
      <c r="F17" s="390"/>
      <c r="G17" s="390"/>
      <c r="H17" s="392"/>
      <c r="I17" s="390"/>
      <c r="J17" s="390"/>
      <c r="K17" s="399"/>
      <c r="L17" s="392"/>
      <c r="M17" s="392"/>
      <c r="N17" s="141" t="s">
        <v>29</v>
      </c>
      <c r="O17" s="142" t="str">
        <f>_xlfn.IFNA(IF(HLOOKUP($A16,PROBAST!$A$6:$AE$77,12,)="Low concern","+",IF(HLOOKUP($A16,PROBAST!$A$6:$AE$77,12,)="High concern","-",IF(HLOOKUP($A16,PROBAST!$A$6:$AE$77,12,)="Unclear","?",""))),"")</f>
        <v>+</v>
      </c>
      <c r="P17" s="142" t="str">
        <f>_xlfn.IFNA(IF(HLOOKUP($A16,PROBAST!$A$6:$AE$77,26,)="Low concern","+",IF(HLOOKUP($A16,PROBAST!$A$6:$AE$77,26,)="High concern","-",IF(HLOOKUP($A16,PROBAST!$A$6:$AE$77,26,)="Unclear","?",""))),"")</f>
        <v>+</v>
      </c>
      <c r="Q17" s="142" t="str">
        <f>_xlfn.IFNA(IF(HLOOKUP($A16,PROBAST!$A$6:$AE$77,40,)="Low concern","+",IF(HLOOKUP($A16,PROBAST!$A$6:$AE$77,40,)="High concern","-",IF(HLOOKUP($A16,PROBAST!$A$6:$AE$77,40,)="Unclear","?",""))),"")</f>
        <v>-</v>
      </c>
      <c r="R17" s="143"/>
    </row>
    <row r="18" spans="1:23" s="140" customFormat="1" ht="22.5" customHeight="1" x14ac:dyDescent="0.25">
      <c r="A18" s="395" t="str">
        <f>CHARMS!X$6</f>
        <v>Run Shi , 2021</v>
      </c>
      <c r="B18" s="396" t="str">
        <f>HLOOKUP($A18,CHARMS!$A$6:$CQ$89,1,)</f>
        <v>Run Shi , 2021</v>
      </c>
      <c r="C18" s="389" t="str">
        <f>IF($A18="","",HLOOKUP($A18,CHARMS!$A$6:$CQ$89,48,))</f>
        <v>Logistic regression</v>
      </c>
      <c r="D18" s="393">
        <f>IF($A18="","",IF(HLOOKUP($A18,CHARMS!$A$6:$CQ$89,40,)=0,"Unkown",HLOOKUP($A18,CHARMS!$A$6:$CQ$89,40,)))</f>
        <v>2715</v>
      </c>
      <c r="E18" s="389" t="str">
        <f>IF($A18="","",IF(HLOOKUP($A18,CHARMS!$A$6:$CQ$89,40,)=0,"Unkown",CONCATENATE(HLOOKUP($A18,CHARMS!$A$6:$CQ$89,41,)," (",FIXED((HLOOKUP($A18,CHARMS!$A$6:$CQ$89,41,)/HLOOKUP($A18,CHARMS!$A$6:$CQ$89,40,))*100,1),")")))</f>
        <v>298 (11.0)</v>
      </c>
      <c r="F18" s="389">
        <f>IF($A18="","",IF(HLOOKUP($A18,CHARMS!$A$6:$CQ$89,33,)=0,"Unkown",HLOOKUP($A18,CHARMS!$A$6:$CQ$89,33,)))</f>
        <v>32</v>
      </c>
      <c r="G18" s="389">
        <f>IF($A18="","",HLOOKUP($A18,CHARMS!$A$6:$CQ$89,79,))</f>
        <v>15</v>
      </c>
      <c r="H18" s="391">
        <f>IF($A18="","",HLOOKUP($A18,CHARMS!$A$6:$CQ$89,43,))</f>
        <v>9.3125</v>
      </c>
      <c r="I18" s="389" t="str">
        <f>IF($A18="","",HLOOKUP($A18,CHARMS!$A$6:$CQ$89,49,))</f>
        <v>Based on univariable associations</v>
      </c>
      <c r="J18" s="389" t="str">
        <f>IF($A18="","",HLOOKUP($A18,CHARMS!$A$6:$CQ$89,50,))</f>
        <v>No information</v>
      </c>
      <c r="K18" s="389" t="str">
        <f>CONCATENATE(IF($A18="","",IF(OR(HLOOKUP($A18,CHARMS!$A$6:$CQ$89,40,)=0,ISTEXT(HLOOKUP($A18,CHARMS!$A$6:$CQ$89,45,))),"n (%): Unkown",CONCATENATE("n (%): ",HLOOKUP($A18,CHARMS!$A$6:$CQ$89,45,)," (",FIXED((HLOOKUP($A18,CHARMS!$A$6:$CQ$89,45,)/HLOOKUP($A18,CHARMS!$A$6:$CQ$89,40,))*100,1),")"))),CHAR(10),IF($A18="","",CONCATENATE("Method: ",HLOOKUP($A18,CHARMS!$A$6:$CQ$89,46,))))</f>
        <v>n (%): Unkown
Method: No information</v>
      </c>
      <c r="L18" s="391" t="str">
        <f>IF($A18="","",CONCATENATE("Int: ",HLOOKUP($A18,CHARMS!$A$6:$CQ$89,75,),CHAR(10),"Ext : ",HLOOKUP($A18,CHARMS!$A$6:$CQ$89,76,)))</f>
        <v>Int: Bootstrap
Ext : None</v>
      </c>
      <c r="M18" s="391" t="str">
        <f>IF($A18="","",CONCATENATE("Cal: ",HLOOKUP($A18,CHARMS!$A$6:$CQ$89,53,),CHAR(10),"Disc : ",HLOOKUP($A18,CHARMS!$A$6:$CQ$89,59,),CHAR(10),"Ov: ",HLOOKUP($A18,CHARMS!$A$6:$CQ$89,66,)))</f>
        <v xml:space="preserve">Cal: Comparison of actual CITL and slope with the ideal values
Disc : C-Statistic / AUC graph 
Ov: Brier score </v>
      </c>
      <c r="N18" s="136" t="s">
        <v>30</v>
      </c>
      <c r="O18" s="137" t="str">
        <f>_xlfn.IFNA(IF(HLOOKUP($A18,PROBAST!$A$6:$AE$77,11,)="Low RoB","+",IF(HLOOKUP($A18,PROBAST!$A$6:$AE$77,11,)="High RoB","-",IF(HLOOKUP($A18,PROBAST!$A$6:$AE$77,11,)="Unclear","?",""))),"")</f>
        <v>+</v>
      </c>
      <c r="P18" s="137" t="str">
        <f>_xlfn.IFNA(IF(HLOOKUP($A18,PROBAST!$A$6:$AE$77,25,)="Low RoB","+",IF(HLOOKUP($A18,PROBAST!$A$6:$AE$77,25,)="High RoB","-",IF(HLOOKUP($A18,PROBAST!$A$6:$AE$77,25,)="Unclear","?",""))),"")</f>
        <v>+</v>
      </c>
      <c r="Q18" s="137" t="str">
        <f>_xlfn.IFNA(IF(HLOOKUP($A18,PROBAST!$A$6:$AE$77,39,)="Low RoB","+",IF(HLOOKUP($A18,PROBAST!$A$6:$AE$77,39,)="High RoB","-",IF(HLOOKUP($A18,PROBAST!$A$6:$AE$77,39,)="Unclear","?",""))),"")</f>
        <v>+</v>
      </c>
      <c r="R18" s="138" t="str">
        <f>_xlfn.IFNA(IF(HLOOKUP($A18,PROBAST!$A$6:$AE$77,58,)="Low RoB","+",IF(HLOOKUP($A18,PROBAST!$A$6:$AE$77,58,)="High RoB","-",IF(HLOOKUP($A18,PROBAST!$A$6:$AE$77,58,)="Unclear","?",""))),"")</f>
        <v>+</v>
      </c>
      <c r="S18" s="139"/>
      <c r="T18" s="139"/>
      <c r="U18" s="139"/>
      <c r="V18" s="139"/>
      <c r="W18" s="139"/>
    </row>
    <row r="19" spans="1:23" ht="22.5" customHeight="1" thickBot="1" x14ac:dyDescent="0.3">
      <c r="A19" s="395"/>
      <c r="B19" s="397"/>
      <c r="C19" s="390"/>
      <c r="D19" s="394"/>
      <c r="E19" s="390"/>
      <c r="F19" s="390"/>
      <c r="G19" s="390"/>
      <c r="H19" s="392"/>
      <c r="I19" s="390"/>
      <c r="J19" s="390"/>
      <c r="K19" s="399"/>
      <c r="L19" s="392"/>
      <c r="M19" s="392"/>
      <c r="N19" s="141" t="s">
        <v>29</v>
      </c>
      <c r="O19" s="142" t="str">
        <f>_xlfn.IFNA(IF(HLOOKUP($A18,PROBAST!$A$6:$AE$77,12,)="Low concern","+",IF(HLOOKUP($A18,PROBAST!$A$6:$AE$77,12,)="High concern","-",IF(HLOOKUP($A18,PROBAST!$A$6:$AE$77,12,)="Unclear","?",""))),"")</f>
        <v>-</v>
      </c>
      <c r="P19" s="142" t="str">
        <f>_xlfn.IFNA(IF(HLOOKUP($A18,PROBAST!$A$6:$AE$77,26,)="Low concern","+",IF(HLOOKUP($A18,PROBAST!$A$6:$AE$77,26,)="High concern","-",IF(HLOOKUP($A18,PROBAST!$A$6:$AE$77,26,)="Unclear","?",""))),"")</f>
        <v>+</v>
      </c>
      <c r="Q19" s="142" t="str">
        <f>_xlfn.IFNA(IF(HLOOKUP($A18,PROBAST!$A$6:$AE$77,40,)="Low concern","+",IF(HLOOKUP($A18,PROBAST!$A$6:$AE$77,40,)="High concern","-",IF(HLOOKUP($A18,PROBAST!$A$6:$AE$77,40,)="Unclear","?",""))),"")</f>
        <v>+</v>
      </c>
      <c r="R19" s="143"/>
    </row>
    <row r="20" spans="1:23" s="140" customFormat="1" ht="22.5" customHeight="1" x14ac:dyDescent="0.25">
      <c r="A20" s="395" t="str">
        <f>CHARMS!AA$6</f>
        <v>Jun Shao, 2021</v>
      </c>
      <c r="B20" s="396" t="str">
        <f>HLOOKUP($A20,CHARMS!$A$6:$CQ$89,1,)</f>
        <v>Jun Shao, 2021</v>
      </c>
      <c r="C20" s="389" t="str">
        <f>IF($A20="","",HLOOKUP($A20,CHARMS!$A$6:$CQ$89,48,))</f>
        <v>Logistic regression</v>
      </c>
      <c r="D20" s="393">
        <f>IF($A20="","",IF(HLOOKUP($A20,CHARMS!$A$6:$CQ$89,40,)=0,"Unkown",HLOOKUP($A20,CHARMS!$A$6:$CQ$89,40,)))</f>
        <v>138</v>
      </c>
      <c r="E20" s="389" t="str">
        <f>IF($A20="","",IF(HLOOKUP($A20,CHARMS!$A$6:$CQ$89,40,)=0,"Unkown",CONCATENATE(HLOOKUP($A20,CHARMS!$A$6:$CQ$89,41,)," (",FIXED((HLOOKUP($A20,CHARMS!$A$6:$CQ$89,41,)/HLOOKUP($A20,CHARMS!$A$6:$CQ$89,40,))*100,1),")")))</f>
        <v>28 (20.3)</v>
      </c>
      <c r="F20" s="389">
        <f>IF($A20="","",IF(HLOOKUP($A20,CHARMS!$A$6:$CQ$89,33,)=0,"Unkown",HLOOKUP($A20,CHARMS!$A$6:$CQ$89,33,)))</f>
        <v>56</v>
      </c>
      <c r="G20" s="389">
        <f>IF($A20="","",HLOOKUP($A20,CHARMS!$A$6:$CQ$89,79,))</f>
        <v>5</v>
      </c>
      <c r="H20" s="391">
        <f>IF($A20="","",HLOOKUP($A20,CHARMS!$A$6:$CQ$89,43,))</f>
        <v>0.5</v>
      </c>
      <c r="I20" s="389" t="str">
        <f>IF($A20="","",HLOOKUP($A20,CHARMS!$A$6:$CQ$89,49,))</f>
        <v>Based on univariable associations</v>
      </c>
      <c r="J20" s="389" t="str">
        <f>IF($A20="","",HLOOKUP($A20,CHARMS!$A$6:$CQ$89,50,))</f>
        <v>Backward elimination</v>
      </c>
      <c r="K20" s="389" t="str">
        <f>CONCATENATE(IF($A20="","",IF(OR(HLOOKUP($A20,CHARMS!$A$6:$CQ$89,40,)=0,ISTEXT(HLOOKUP($A20,CHARMS!$A$6:$CQ$89,45,))),"n (%): Unkown",CONCATENATE("n (%): ",HLOOKUP($A20,CHARMS!$A$6:$CQ$89,45,)," (",FIXED((HLOOKUP($A20,CHARMS!$A$6:$CQ$89,45,)/HLOOKUP($A20,CHARMS!$A$6:$CQ$89,40,))*100,1),")"))),CHAR(10),IF($A20="","",CONCATENATE("Method: ",HLOOKUP($A20,CHARMS!$A$6:$CQ$89,46,))))</f>
        <v>n (%): 45 (32.6)
Method: No information</v>
      </c>
      <c r="L20" s="391" t="str">
        <f>IF($A20="","",CONCATENATE("Int: ",HLOOKUP($A20,CHARMS!$A$6:$CQ$89,75,),CHAR(10),"Ext : ",HLOOKUP($A20,CHARMS!$A$6:$CQ$89,76,)))</f>
        <v>Int: Bootstrap
Ext : None</v>
      </c>
      <c r="M20" s="391" t="str">
        <f>IF($A20="","",CONCATENATE("Cal: ",HLOOKUP($A20,CHARMS!$A$6:$CQ$89,53,),CHAR(10),"Disc : ",HLOOKUP($A20,CHARMS!$A$6:$CQ$89,59,),CHAR(10),"Ov: ",HLOOKUP($A20,CHARMS!$A$6:$CQ$89,66,)))</f>
        <v>Cal: HL test 
Disc : C-Statistic / AUC graph 
Ov: Not evaluated</v>
      </c>
      <c r="N20" s="136" t="s">
        <v>30</v>
      </c>
      <c r="O20" s="137" t="str">
        <f>_xlfn.IFNA(IF(HLOOKUP($A20,PROBAST!$A$6:$AE$77,11,)="Low RoB","+",IF(HLOOKUP($A20,PROBAST!$A$6:$AE$77,11,)="High RoB","-",IF(HLOOKUP($A20,PROBAST!$A$6:$AE$77,11,)="Unclear","?",""))),"")</f>
        <v>-</v>
      </c>
      <c r="P20" s="137" t="str">
        <f>_xlfn.IFNA(IF(HLOOKUP($A20,PROBAST!$A$6:$AE$77,25,)="Low RoB","+",IF(HLOOKUP($A20,PROBAST!$A$6:$AE$77,25,)="High RoB","-",IF(HLOOKUP($A20,PROBAST!$A$6:$AE$77,25,)="Unclear","?",""))),"")</f>
        <v>+</v>
      </c>
      <c r="Q20" s="137" t="str">
        <f>_xlfn.IFNA(IF(HLOOKUP($A20,PROBAST!$A$6:$AE$77,39,)="Low RoB","+",IF(HLOOKUP($A20,PROBAST!$A$6:$AE$77,39,)="High RoB","-",IF(HLOOKUP($A20,PROBAST!$A$6:$AE$77,39,)="Unclear","?",""))),"")</f>
        <v>+</v>
      </c>
      <c r="R20" s="138" t="str">
        <f>_xlfn.IFNA(IF(HLOOKUP($A20,PROBAST!$A$6:$AE$77,58,)="Low RoB","+",IF(HLOOKUP($A20,PROBAST!$A$6:$AE$77,58,)="High RoB","-",IF(HLOOKUP($A20,PROBAST!$A$6:$AE$77,58,)="Unclear","?",""))),"")</f>
        <v>+</v>
      </c>
      <c r="S20" s="139"/>
      <c r="T20" s="139"/>
      <c r="U20" s="139"/>
      <c r="V20" s="139"/>
      <c r="W20" s="139"/>
    </row>
    <row r="21" spans="1:23" ht="22.5" customHeight="1" thickBot="1" x14ac:dyDescent="0.3">
      <c r="A21" s="395"/>
      <c r="B21" s="397"/>
      <c r="C21" s="390"/>
      <c r="D21" s="394"/>
      <c r="E21" s="390"/>
      <c r="F21" s="390"/>
      <c r="G21" s="390"/>
      <c r="H21" s="392"/>
      <c r="I21" s="390"/>
      <c r="J21" s="390"/>
      <c r="K21" s="399"/>
      <c r="L21" s="392"/>
      <c r="M21" s="392"/>
      <c r="N21" s="141" t="s">
        <v>29</v>
      </c>
      <c r="O21" s="142" t="str">
        <f>_xlfn.IFNA(IF(HLOOKUP($A20,PROBAST!$A$6:$AE$77,12,)="Low concern","+",IF(HLOOKUP($A20,PROBAST!$A$6:$AE$77,12,)="High concern","-",IF(HLOOKUP($A20,PROBAST!$A$6:$AE$77,12,)="Unclear","?",""))),"")</f>
        <v>+</v>
      </c>
      <c r="P21" s="142" t="str">
        <f>_xlfn.IFNA(IF(HLOOKUP($A20,PROBAST!$A$6:$AE$77,26,)="Low concern","+",IF(HLOOKUP($A20,PROBAST!$A$6:$AE$77,26,)="High concern","-",IF(HLOOKUP($A20,PROBAST!$A$6:$AE$77,26,)="Unclear","?",""))),"")</f>
        <v>+</v>
      </c>
      <c r="Q21" s="142" t="str">
        <f>_xlfn.IFNA(IF(HLOOKUP($A20,PROBAST!$A$6:$AE$77,40,)="Low concern","+",IF(HLOOKUP($A20,PROBAST!$A$6:$AE$77,40,)="High concern","-",IF(HLOOKUP($A20,PROBAST!$A$6:$AE$77,40,)="Unclear","?",""))),"")</f>
        <v>+</v>
      </c>
      <c r="R21" s="143"/>
    </row>
    <row r="22" spans="1:23" s="140" customFormat="1" ht="22.5" customHeight="1" x14ac:dyDescent="0.25">
      <c r="A22" s="395" t="str">
        <f>CHARMS!AD$6</f>
        <v>Baohui Zhang, 2020</v>
      </c>
      <c r="B22" s="396" t="str">
        <f>HLOOKUP($A22,CHARMS!$A$6:$CQ$89,1,)</f>
        <v>Baohui Zhang, 2020</v>
      </c>
      <c r="C22" s="389" t="str">
        <f>IF($A22="","",HLOOKUP($A22,CHARMS!$A$6:$CQ$89,48,))</f>
        <v>Logistic regression</v>
      </c>
      <c r="D22" s="393">
        <f>IF($A22="","",IF(HLOOKUP($A22,CHARMS!$A$6:$CQ$89,40,)=0,"Unkown",HLOOKUP($A22,CHARMS!$A$6:$CQ$89,40,)))</f>
        <v>424</v>
      </c>
      <c r="E22" s="389" t="str">
        <f>IF($A22="","",IF(HLOOKUP($A22,CHARMS!$A$6:$CQ$89,40,)=0,"Unkown",CONCATENATE(HLOOKUP($A22,CHARMS!$A$6:$CQ$89,41,)," (",FIXED((HLOOKUP($A22,CHARMS!$A$6:$CQ$89,41,)/HLOOKUP($A22,CHARMS!$A$6:$CQ$89,40,))*100,1),")")))</f>
        <v>124 (29.2)</v>
      </c>
      <c r="F22" s="389">
        <f>IF($A22="","",IF(HLOOKUP($A22,CHARMS!$A$6:$CQ$89,33,)=0,"Unkown",HLOOKUP($A22,CHARMS!$A$6:$CQ$89,33,)))</f>
        <v>37</v>
      </c>
      <c r="G22" s="389">
        <f>IF($A22="","",HLOOKUP($A22,CHARMS!$A$6:$CQ$89,79,))</f>
        <v>8</v>
      </c>
      <c r="H22" s="391">
        <f>IF($A22="","",HLOOKUP($A22,CHARMS!$A$6:$CQ$89,43,))</f>
        <v>3.3513513513513513</v>
      </c>
      <c r="I22" s="389" t="str">
        <f>IF($A22="","",HLOOKUP($A22,CHARMS!$A$6:$CQ$89,49,))</f>
        <v>Based on univariable associations and clinical relevance</v>
      </c>
      <c r="J22" s="389" t="str">
        <f>IF($A22="","",HLOOKUP($A22,CHARMS!$A$6:$CQ$89,50,))</f>
        <v>Stepwise selection</v>
      </c>
      <c r="K22" s="389" t="str">
        <f>CONCATENATE(IF($A22="","",IF(OR(HLOOKUP($A22,CHARMS!$A$6:$CQ$89,40,)=0,ISTEXT(HLOOKUP($A22,CHARMS!$A$6:$CQ$89,45,))),"n (%): Unkown",CONCATENATE("n (%): ",HLOOKUP($A22,CHARMS!$A$6:$CQ$89,45,)," (",FIXED((HLOOKUP($A22,CHARMS!$A$6:$CQ$89,45,)/HLOOKUP($A22,CHARMS!$A$6:$CQ$89,40,))*100,1),")"))),CHAR(10),IF($A22="","",CONCATENATE("Method: ",HLOOKUP($A22,CHARMS!$A$6:$CQ$89,46,))))</f>
        <v>n (%): Unkown
Method: No information</v>
      </c>
      <c r="L22" s="391" t="str">
        <f>IF($A22="","",CONCATENATE("Int: ",HLOOKUP($A22,CHARMS!$A$6:$CQ$89,75,),CHAR(10),"Ext : ",HLOOKUP($A22,CHARMS!$A$6:$CQ$89,76,)))</f>
        <v>Int: Random split data
Ext : Geographical</v>
      </c>
      <c r="M22" s="391" t="str">
        <f>IF($A22="","",CONCATENATE("Cal: ",HLOOKUP($A22,CHARMS!$A$6:$CQ$89,53,),CHAR(10),"Disc : ",HLOOKUP($A22,CHARMS!$A$6:$CQ$89,59,),CHAR(10),"Ov: ",HLOOKUP($A22,CHARMS!$A$6:$CQ$89,66,)))</f>
        <v>Cal: Calibration plot / HL test 
Disc : C-Statistic / AUC graph 
Ov: Not evaluated</v>
      </c>
      <c r="N22" s="136" t="s">
        <v>30</v>
      </c>
      <c r="O22" s="137" t="str">
        <f>_xlfn.IFNA(IF(HLOOKUP($A22,PROBAST!$A$6:$AE$77,11,)="Low RoB","+",IF(HLOOKUP($A22,PROBAST!$A$6:$AE$77,11,)="High RoB","-",IF(HLOOKUP($A22,PROBAST!$A$6:$AE$77,11,)="Unclear","?",""))),"")</f>
        <v>-</v>
      </c>
      <c r="P22" s="137" t="str">
        <f>_xlfn.IFNA(IF(HLOOKUP($A22,PROBAST!$A$6:$AE$77,25,)="Low RoB","+",IF(HLOOKUP($A22,PROBAST!$A$6:$AE$77,25,)="High RoB","-",IF(HLOOKUP($A22,PROBAST!$A$6:$AE$77,25,)="Unclear","?",""))),"")</f>
        <v>+</v>
      </c>
      <c r="Q22" s="137" t="str">
        <f>_xlfn.IFNA(IF(HLOOKUP($A22,PROBAST!$A$6:$AE$77,39,)="Low RoB","+",IF(HLOOKUP($A22,PROBAST!$A$6:$AE$77,39,)="High RoB","-",IF(HLOOKUP($A22,PROBAST!$A$6:$AE$77,39,)="Unclear","?",""))),"")</f>
        <v>+</v>
      </c>
      <c r="R22" s="138" t="str">
        <f>_xlfn.IFNA(IF(HLOOKUP($A22,PROBAST!$A$6:$AE$77,58,)="Low RoB","+",IF(HLOOKUP($A22,PROBAST!$A$6:$AE$77,58,)="High RoB","-",IF(HLOOKUP($A22,PROBAST!$A$6:$AE$77,58,)="Unclear","?",""))),"")</f>
        <v>-</v>
      </c>
      <c r="S22" s="139"/>
      <c r="T22" s="139"/>
      <c r="U22" s="139"/>
      <c r="V22" s="139"/>
      <c r="W22" s="139"/>
    </row>
    <row r="23" spans="1:23" ht="22.5" customHeight="1" thickBot="1" x14ac:dyDescent="0.3">
      <c r="A23" s="395"/>
      <c r="B23" s="397"/>
      <c r="C23" s="390"/>
      <c r="D23" s="394"/>
      <c r="E23" s="390"/>
      <c r="F23" s="390"/>
      <c r="G23" s="390"/>
      <c r="H23" s="392"/>
      <c r="I23" s="390"/>
      <c r="J23" s="390"/>
      <c r="K23" s="399"/>
      <c r="L23" s="392"/>
      <c r="M23" s="392"/>
      <c r="N23" s="141" t="s">
        <v>29</v>
      </c>
      <c r="O23" s="142" t="str">
        <f>_xlfn.IFNA(IF(HLOOKUP($A22,PROBAST!$A$6:$AE$77,12,)="Low concern","+",IF(HLOOKUP($A22,PROBAST!$A$6:$AE$77,12,)="High concern","-",IF(HLOOKUP($A22,PROBAST!$A$6:$AE$77,12,)="Unclear","?",""))),"")</f>
        <v>+</v>
      </c>
      <c r="P23" s="142" t="str">
        <f>_xlfn.IFNA(IF(HLOOKUP($A22,PROBAST!$A$6:$AE$77,26,)="Low concern","+",IF(HLOOKUP($A22,PROBAST!$A$6:$AE$77,26,)="High concern","-",IF(HLOOKUP($A22,PROBAST!$A$6:$AE$77,26,)="Unclear","?",""))),"")</f>
        <v>+</v>
      </c>
      <c r="Q23" s="142" t="str">
        <f>_xlfn.IFNA(IF(HLOOKUP($A22,PROBAST!$A$6:$AE$77,40,)="Low concern","+",IF(HLOOKUP($A22,PROBAST!$A$6:$AE$77,40,)="High concern","-",IF(HLOOKUP($A22,PROBAST!$A$6:$AE$77,40,)="Unclear","?",""))),"")</f>
        <v>+</v>
      </c>
      <c r="R23" s="143"/>
    </row>
    <row r="24" spans="1:23" s="140" customFormat="1" ht="22.5" customHeight="1" x14ac:dyDescent="0.25">
      <c r="A24" s="395" t="str">
        <f>CHARMS!AG$6</f>
        <v>Qiangnu Zhang, 2021</v>
      </c>
      <c r="B24" s="396" t="str">
        <f>HLOOKUP($A24,CHARMS!$A$6:$CQ$89,1,)</f>
        <v>Qiangnu Zhang, 2021</v>
      </c>
      <c r="C24" s="389" t="str">
        <f>IF($A24="","",HLOOKUP($A24,CHARMS!$A$6:$CQ$89,48,))</f>
        <v>Logistic regression</v>
      </c>
      <c r="D24" s="393">
        <f>IF($A24="","",IF(HLOOKUP($A24,CHARMS!$A$6:$CQ$89,40,)=0,"Unkown",HLOOKUP($A24,CHARMS!$A$6:$CQ$89,40,)))</f>
        <v>779</v>
      </c>
      <c r="E24" s="389" t="str">
        <f>IF($A24="","",IF(HLOOKUP($A24,CHARMS!$A$6:$CQ$89,40,)=0,"Unkown",CONCATENATE(HLOOKUP($A24,CHARMS!$A$6:$CQ$89,41,)," (",FIXED((HLOOKUP($A24,CHARMS!$A$6:$CQ$89,41,)/HLOOKUP($A24,CHARMS!$A$6:$CQ$89,40,))*100,1),")")))</f>
        <v>208 (26.7)</v>
      </c>
      <c r="F24" s="389">
        <f>IF($A24="","",IF(HLOOKUP($A24,CHARMS!$A$6:$CQ$89,33,)=0,"Unkown",HLOOKUP($A24,CHARMS!$A$6:$CQ$89,33,)))</f>
        <v>26</v>
      </c>
      <c r="G24" s="389">
        <f>IF($A24="","",HLOOKUP($A24,CHARMS!$A$6:$CQ$89,79,))</f>
        <v>10</v>
      </c>
      <c r="H24" s="391">
        <f>IF($A24="","",HLOOKUP($A24,CHARMS!$A$6:$CQ$89,43,))</f>
        <v>8</v>
      </c>
      <c r="I24" s="389" t="str">
        <f>IF($A24="","",HLOOKUP($A24,CHARMS!$A$6:$CQ$89,49,))</f>
        <v>Based on prior knowledge</v>
      </c>
      <c r="J24" s="389" t="str">
        <f>IF($A24="","",HLOOKUP($A24,CHARMS!$A$6:$CQ$89,50,))</f>
        <v>Bootstrap selection</v>
      </c>
      <c r="K24" s="389" t="str">
        <f>CONCATENATE(IF($A24="","",IF(OR(HLOOKUP($A24,CHARMS!$A$6:$CQ$89,40,)=0,ISTEXT(HLOOKUP($A24,CHARMS!$A$6:$CQ$89,45,))),"n (%): Unkown",CONCATENATE("n (%): ",HLOOKUP($A24,CHARMS!$A$6:$CQ$89,45,)," (",FIXED((HLOOKUP($A24,CHARMS!$A$6:$CQ$89,45,)/HLOOKUP($A24,CHARMS!$A$6:$CQ$89,40,))*100,1),")"))),CHAR(10),IF($A24="","",CONCATENATE("Method: ",HLOOKUP($A24,CHARMS!$A$6:$CQ$89,46,))))</f>
        <v>n (%): 4 (0.5)
Method: Complete-case analysis</v>
      </c>
      <c r="L24" s="391" t="str">
        <f>IF($A24="","",CONCATENATE("Int: ",HLOOKUP($A24,CHARMS!$A$6:$CQ$89,75,),CHAR(10),"Ext : ",HLOOKUP($A24,CHARMS!$A$6:$CQ$89,76,)))</f>
        <v>Int: Bootstrap
Ext : None</v>
      </c>
      <c r="M24" s="391" t="str">
        <f>IF($A24="","",CONCATENATE("Cal: ",HLOOKUP($A24,CHARMS!$A$6:$CQ$89,53,),CHAR(10),"Disc : ",HLOOKUP($A24,CHARMS!$A$6:$CQ$89,59,),CHAR(10),"Ov: ",HLOOKUP($A24,CHARMS!$A$6:$CQ$89,66,)))</f>
        <v xml:space="preserve">Cal: Calibration plot / Slope / CITL 
Disc : C-Statistic / AUC graph 
Ov: Brier score </v>
      </c>
      <c r="N24" s="136" t="s">
        <v>30</v>
      </c>
      <c r="O24" s="137" t="str">
        <f>_xlfn.IFNA(IF(HLOOKUP($A24,PROBAST!$A$6:$AE$77,11,)="Low RoB","+",IF(HLOOKUP($A24,PROBAST!$A$6:$AE$77,11,)="High RoB","-",IF(HLOOKUP($A24,PROBAST!$A$6:$AE$77,11,)="Unclear","?",""))),"")</f>
        <v>+</v>
      </c>
      <c r="P24" s="137" t="str">
        <f>_xlfn.IFNA(IF(HLOOKUP($A24,PROBAST!$A$6:$AE$77,25,)="Low RoB","+",IF(HLOOKUP($A24,PROBAST!$A$6:$AE$77,25,)="High RoB","-",IF(HLOOKUP($A24,PROBAST!$A$6:$AE$77,25,)="Unclear","?",""))),"")</f>
        <v>+</v>
      </c>
      <c r="Q24" s="137" t="str">
        <f>_xlfn.IFNA(IF(HLOOKUP($A24,PROBAST!$A$6:$AE$77,39,)="Low RoB","+",IF(HLOOKUP($A24,PROBAST!$A$6:$AE$77,39,)="High RoB","-",IF(HLOOKUP($A24,PROBAST!$A$6:$AE$77,39,)="Unclear","?",""))),"")</f>
        <v>+</v>
      </c>
      <c r="R24" s="138" t="str">
        <f>_xlfn.IFNA(IF(HLOOKUP($A24,PROBAST!$A$6:$AE$77,58,)="Low RoB","+",IF(HLOOKUP($A24,PROBAST!$A$6:$AE$77,58,)="High RoB","-",IF(HLOOKUP($A24,PROBAST!$A$6:$AE$77,58,)="Unclear","?",""))),"")</f>
        <v>+</v>
      </c>
      <c r="S24" s="139"/>
      <c r="T24" s="139"/>
      <c r="U24" s="139"/>
      <c r="V24" s="139"/>
      <c r="W24" s="139"/>
    </row>
    <row r="25" spans="1:23" ht="22.5" customHeight="1" thickBot="1" x14ac:dyDescent="0.3">
      <c r="A25" s="395"/>
      <c r="B25" s="397"/>
      <c r="C25" s="390"/>
      <c r="D25" s="394"/>
      <c r="E25" s="390"/>
      <c r="F25" s="390"/>
      <c r="G25" s="390"/>
      <c r="H25" s="392"/>
      <c r="I25" s="390"/>
      <c r="J25" s="390"/>
      <c r="K25" s="399"/>
      <c r="L25" s="392"/>
      <c r="M25" s="392"/>
      <c r="N25" s="141" t="s">
        <v>29</v>
      </c>
      <c r="O25" s="142" t="str">
        <f>_xlfn.IFNA(IF(HLOOKUP($A24,PROBAST!$A$6:$AE$77,12,)="Low concern","+",IF(HLOOKUP($A24,PROBAST!$A$6:$AE$77,12,)="High concern","-",IF(HLOOKUP($A24,PROBAST!$A$6:$AE$77,12,)="Unclear","?",""))),"")</f>
        <v>+</v>
      </c>
      <c r="P25" s="142" t="str">
        <f>_xlfn.IFNA(IF(HLOOKUP($A24,PROBAST!$A$6:$AE$77,26,)="Low concern","+",IF(HLOOKUP($A24,PROBAST!$A$6:$AE$77,26,)="High concern","-",IF(HLOOKUP($A24,PROBAST!$A$6:$AE$77,26,)="Unclear","?",""))),"")</f>
        <v>?</v>
      </c>
      <c r="Q25" s="142" t="str">
        <f>_xlfn.IFNA(IF(HLOOKUP($A24,PROBAST!$A$6:$AE$77,40,)="Low concern","+",IF(HLOOKUP($A24,PROBAST!$A$6:$AE$77,40,)="High concern","-",IF(HLOOKUP($A24,PROBAST!$A$6:$AE$77,40,)="Unclear","?",""))),"")</f>
        <v>+</v>
      </c>
      <c r="R25" s="143"/>
    </row>
    <row r="26" spans="1:23" s="140" customFormat="1" ht="22.5" customHeight="1" x14ac:dyDescent="0.25">
      <c r="A26" s="395" t="str">
        <f>CHARMS!AJ$6</f>
        <v>Fanhong Zeng, 2021</v>
      </c>
      <c r="B26" s="396" t="str">
        <f>HLOOKUP($A26,CHARMS!$A$6:$CQ$89,1,)</f>
        <v>Fanhong Zeng, 2021</v>
      </c>
      <c r="C26" s="389" t="str">
        <f>IF($A26="","",HLOOKUP($A26,CHARMS!$A$6:$CQ$89,48,))</f>
        <v>Logistic regression</v>
      </c>
      <c r="D26" s="393">
        <f>IF($A26="","",IF(HLOOKUP($A26,CHARMS!$A$6:$CQ$89,40,)=0,"Unkown",HLOOKUP($A26,CHARMS!$A$6:$CQ$89,40,)))</f>
        <v>779</v>
      </c>
      <c r="E26" s="389" t="str">
        <f>IF($A26="","",IF(HLOOKUP($A26,CHARMS!$A$6:$CQ$89,40,)=0,"Unkown",CONCATENATE(HLOOKUP($A26,CHARMS!$A$6:$CQ$89,41,)," (",FIXED((HLOOKUP($A26,CHARMS!$A$6:$CQ$89,41,)/HLOOKUP($A26,CHARMS!$A$6:$CQ$89,40,))*100,1),")")))</f>
        <v>208 (26.7)</v>
      </c>
      <c r="F26" s="389">
        <f>IF($A26="","",IF(HLOOKUP($A26,CHARMS!$A$6:$CQ$89,33,)=0,"Unkown",HLOOKUP($A26,CHARMS!$A$6:$CQ$89,33,)))</f>
        <v>27</v>
      </c>
      <c r="G26" s="389">
        <f>IF($A26="","",HLOOKUP($A26,CHARMS!$A$6:$CQ$89,79,))</f>
        <v>9</v>
      </c>
      <c r="H26" s="391">
        <f>IF($A26="","",HLOOKUP($A26,CHARMS!$A$6:$CQ$89,43,))</f>
        <v>7.7037037037037033</v>
      </c>
      <c r="I26" s="389" t="str">
        <f>IF($A26="","",HLOOKUP($A26,CHARMS!$A$6:$CQ$89,49,))</f>
        <v>Based on prior knowledge</v>
      </c>
      <c r="J26" s="389" t="str">
        <f>IF($A26="","",HLOOKUP($A26,CHARMS!$A$6:$CQ$89,50,))</f>
        <v>Bootstrap selection</v>
      </c>
      <c r="K26" s="389" t="str">
        <f>CONCATENATE(IF($A26="","",IF(OR(HLOOKUP($A26,CHARMS!$A$6:$CQ$89,40,)=0,ISTEXT(HLOOKUP($A26,CHARMS!$A$6:$CQ$89,45,))),"n (%): Unkown",CONCATENATE("n (%): ",HLOOKUP($A26,CHARMS!$A$6:$CQ$89,45,)," (",FIXED((HLOOKUP($A26,CHARMS!$A$6:$CQ$89,45,)/HLOOKUP($A26,CHARMS!$A$6:$CQ$89,40,))*100,1),")"))),CHAR(10),IF($A26="","",CONCATENATE("Method: ",HLOOKUP($A26,CHARMS!$A$6:$CQ$89,46,))))</f>
        <v>n (%): 4 (0.5)
Method: Complete-case analysis</v>
      </c>
      <c r="L26" s="391" t="str">
        <f>IF($A26="","",CONCATENATE("Int: ",HLOOKUP($A26,CHARMS!$A$6:$CQ$89,75,),CHAR(10),"Ext : ",HLOOKUP($A26,CHARMS!$A$6:$CQ$89,76,)))</f>
        <v>Int: Bootstrap
Ext : None</v>
      </c>
      <c r="M26" s="391" t="str">
        <f>IF($A26="","",CONCATENATE("Cal: ",HLOOKUP($A26,CHARMS!$A$6:$CQ$89,53,),CHAR(10),"Disc : ",HLOOKUP($A26,CHARMS!$A$6:$CQ$89,59,),CHAR(10),"Ov: ",HLOOKUP($A26,CHARMS!$A$6:$CQ$89,66,)))</f>
        <v xml:space="preserve">Cal: Calibration plot / Slope / CITL 
Disc : C-Statistic / AUC graph 
Ov: Brier score </v>
      </c>
      <c r="N26" s="136" t="s">
        <v>30</v>
      </c>
      <c r="O26" s="137" t="str">
        <f>_xlfn.IFNA(IF(HLOOKUP($A26,PROBAST!$A$6:$AE$77,11,)="Low RoB","+",IF(HLOOKUP($A26,PROBAST!$A$6:$AE$77,11,)="High RoB","-",IF(HLOOKUP($A26,PROBAST!$A$6:$AE$77,11,)="Unclear","?",""))),"")</f>
        <v>+</v>
      </c>
      <c r="P26" s="137" t="str">
        <f>_xlfn.IFNA(IF(HLOOKUP($A26,PROBAST!$A$6:$AE$77,25,)="Low RoB","+",IF(HLOOKUP($A26,PROBAST!$A$6:$AE$77,25,)="High RoB","-",IF(HLOOKUP($A26,PROBAST!$A$6:$AE$77,25,)="Unclear","?",""))),"")</f>
        <v>+</v>
      </c>
      <c r="Q26" s="137" t="str">
        <f>_xlfn.IFNA(IF(HLOOKUP($A26,PROBAST!$A$6:$AE$77,39,)="Low RoB","+",IF(HLOOKUP($A26,PROBAST!$A$6:$AE$77,39,)="High RoB","-",IF(HLOOKUP($A26,PROBAST!$A$6:$AE$77,39,)="Unclear","?",""))),"")</f>
        <v>+</v>
      </c>
      <c r="R26" s="138" t="str">
        <f>_xlfn.IFNA(IF(HLOOKUP($A26,PROBAST!$A$6:$AE$77,58,)="Low RoB","+",IF(HLOOKUP($A26,PROBAST!$A$6:$AE$77,58,)="High RoB","-",IF(HLOOKUP($A26,PROBAST!$A$6:$AE$77,58,)="Unclear","?",""))),"")</f>
        <v>+</v>
      </c>
      <c r="S26" s="139"/>
      <c r="T26" s="139"/>
      <c r="U26" s="139"/>
      <c r="V26" s="139"/>
      <c r="W26" s="139"/>
    </row>
    <row r="27" spans="1:23" ht="22.5" customHeight="1" thickBot="1" x14ac:dyDescent="0.3">
      <c r="A27" s="395"/>
      <c r="B27" s="397"/>
      <c r="C27" s="390"/>
      <c r="D27" s="394"/>
      <c r="E27" s="390"/>
      <c r="F27" s="390"/>
      <c r="G27" s="390"/>
      <c r="H27" s="392"/>
      <c r="I27" s="390"/>
      <c r="J27" s="390"/>
      <c r="K27" s="399"/>
      <c r="L27" s="392"/>
      <c r="M27" s="392"/>
      <c r="N27" s="141" t="s">
        <v>29</v>
      </c>
      <c r="O27" s="142" t="str">
        <f>_xlfn.IFNA(IF(HLOOKUP($A26,PROBAST!$A$6:$AE$77,12,)="Low concern","+",IF(HLOOKUP($A26,PROBAST!$A$6:$AE$77,12,)="High concern","-",IF(HLOOKUP($A26,PROBAST!$A$6:$AE$77,12,)="Unclear","?",""))),"")</f>
        <v>+</v>
      </c>
      <c r="P27" s="142" t="str">
        <f>_xlfn.IFNA(IF(HLOOKUP($A26,PROBAST!$A$6:$AE$77,26,)="Low concern","+",IF(HLOOKUP($A26,PROBAST!$A$6:$AE$77,26,)="High concern","-",IF(HLOOKUP($A26,PROBAST!$A$6:$AE$77,26,)="Unclear","?",""))),"")</f>
        <v>+</v>
      </c>
      <c r="Q27" s="142" t="str">
        <f>_xlfn.IFNA(IF(HLOOKUP($A26,PROBAST!$A$6:$AE$77,40,)="Low concern","+",IF(HLOOKUP($A26,PROBAST!$A$6:$AE$77,40,)="High concern","-",IF(HLOOKUP($A26,PROBAST!$A$6:$AE$77,40,)="Unclear","?",""))),"")</f>
        <v>+</v>
      </c>
      <c r="R27" s="143"/>
    </row>
    <row r="28" spans="1:23" s="140" customFormat="1" ht="22.5" customHeight="1" x14ac:dyDescent="0.25">
      <c r="A28" s="395" t="str">
        <f>CHARMS!AM$6</f>
        <v>Brian Lane, 2022</v>
      </c>
      <c r="B28" s="396" t="str">
        <f>HLOOKUP($A28,CHARMS!$A$6:$CQ$89,1,)</f>
        <v>Brian Lane, 2022</v>
      </c>
      <c r="C28" s="389">
        <f>IF($A28="","",HLOOKUP($A28,CHARMS!$A$6:$CQ$89,48,))</f>
        <v>0</v>
      </c>
      <c r="D28" s="393" t="str">
        <f>IF($A28="","",IF(HLOOKUP($A28,CHARMS!$A$6:$CQ$89,40,)=0,"Unkown",HLOOKUP($A28,CHARMS!$A$6:$CQ$89,40,)))</f>
        <v>Unkown</v>
      </c>
      <c r="E28" s="389" t="str">
        <f>IF($A28="","",IF(HLOOKUP($A28,CHARMS!$A$6:$CQ$89,40,)=0,"Unkown",CONCATENATE(HLOOKUP($A28,CHARMS!$A$6:$CQ$89,41,)," (",FIXED((HLOOKUP($A28,CHARMS!$A$6:$CQ$89,41,)/HLOOKUP($A28,CHARMS!$A$6:$CQ$89,40,))*100,1),")")))</f>
        <v>Unkown</v>
      </c>
      <c r="F28" s="389" t="str">
        <f>IF($A28="","",IF(HLOOKUP($A28,CHARMS!$A$6:$CQ$89,33,)=0,"Unkown",HLOOKUP($A28,CHARMS!$A$6:$CQ$89,33,)))</f>
        <v>Unkown</v>
      </c>
      <c r="G28" s="389">
        <f>IF($A28="","",HLOOKUP($A28,CHARMS!$A$6:$CQ$89,79,))</f>
        <v>0</v>
      </c>
      <c r="H28" s="391" t="str">
        <f>IF($A28="","",HLOOKUP($A28,CHARMS!$A$6:$CQ$89,43,))</f>
        <v/>
      </c>
      <c r="I28" s="389">
        <f>IF($A28="","",HLOOKUP($A28,CHARMS!$A$6:$CQ$89,49,))</f>
        <v>0</v>
      </c>
      <c r="J28" s="389">
        <f>IF($A28="","",HLOOKUP($A28,CHARMS!$A$6:$CQ$89,50,))</f>
        <v>0</v>
      </c>
      <c r="K28" s="389" t="str">
        <f>CONCATENATE(IF($A28="","",IF(OR(HLOOKUP($A28,CHARMS!$A$6:$CQ$89,40,)=0,ISTEXT(HLOOKUP($A28,CHARMS!$A$6:$CQ$89,45,))),"n (%): Unkown",CONCATENATE("n (%): ",HLOOKUP($A28,CHARMS!$A$6:$CQ$89,45,)," (",FIXED((HLOOKUP($A28,CHARMS!$A$6:$CQ$89,45,)/HLOOKUP($A28,CHARMS!$A$6:$CQ$89,40,))*100,1),")"))),CHAR(10),IF($A28="","",CONCATENATE("Method: ",HLOOKUP($A28,CHARMS!$A$6:$CQ$89,46,))))</f>
        <v xml:space="preserve">n (%): Unkown
Method: </v>
      </c>
      <c r="L28" s="391" t="str">
        <f>IF($A28="","",CONCATENATE("Int: ",HLOOKUP($A28,CHARMS!$A$6:$CQ$89,75,),CHAR(10),"Ext : ",HLOOKUP($A28,CHARMS!$A$6:$CQ$89,76,)))</f>
        <v xml:space="preserve">Int: 
Ext : </v>
      </c>
      <c r="M28" s="391" t="str">
        <f>IF($A28="","",CONCATENATE("Cal: ",HLOOKUP($A28,CHARMS!$A$6:$CQ$89,53,),CHAR(10),"Disc : ",HLOOKUP($A28,CHARMS!$A$6:$CQ$89,59,),CHAR(10),"Ov: ",HLOOKUP($A28,CHARMS!$A$6:$CQ$89,66,)))</f>
        <v xml:space="preserve">Cal: 
Disc : 
Ov: </v>
      </c>
      <c r="N28" s="136" t="s">
        <v>30</v>
      </c>
      <c r="O28" s="137" t="str">
        <f>_xlfn.IFNA(IF(HLOOKUP($A28,PROBAST!$A$6:$AE$77,11,)="Low RoB","+",IF(HLOOKUP($A28,PROBAST!$A$6:$AE$77,11,)="High RoB","-",IF(HLOOKUP($A28,PROBAST!$A$6:$AE$77,11,)="Unclear","?",""))),"")</f>
        <v>-</v>
      </c>
      <c r="P28" s="137" t="str">
        <f>_xlfn.IFNA(IF(HLOOKUP($A28,PROBAST!$A$6:$AE$77,25,)="Low RoB","+",IF(HLOOKUP($A28,PROBAST!$A$6:$AE$77,25,)="High RoB","-",IF(HLOOKUP($A28,PROBAST!$A$6:$AE$77,25,)="Unclear","?",""))),"")</f>
        <v>-</v>
      </c>
      <c r="Q28" s="137" t="str">
        <f>_xlfn.IFNA(IF(HLOOKUP($A28,PROBAST!$A$6:$AE$77,39,)="Low RoB","+",IF(HLOOKUP($A28,PROBAST!$A$6:$AE$77,39,)="High RoB","-",IF(HLOOKUP($A28,PROBAST!$A$6:$AE$77,39,)="Unclear","?",""))),"")</f>
        <v>+</v>
      </c>
      <c r="R28" s="138" t="str">
        <f>_xlfn.IFNA(IF(HLOOKUP($A28,PROBAST!$A$6:$AE$77,58,)="Low RoB","+",IF(HLOOKUP($A28,PROBAST!$A$6:$AE$77,58,)="High RoB","-",IF(HLOOKUP($A28,PROBAST!$A$6:$AE$77,58,)="Unclear","?",""))),"")</f>
        <v>?</v>
      </c>
      <c r="S28" s="139"/>
      <c r="T28" s="139"/>
      <c r="U28" s="139"/>
      <c r="V28" s="139"/>
      <c r="W28" s="139"/>
    </row>
    <row r="29" spans="1:23" ht="22.5" customHeight="1" thickBot="1" x14ac:dyDescent="0.3">
      <c r="A29" s="395"/>
      <c r="B29" s="397"/>
      <c r="C29" s="390"/>
      <c r="D29" s="394"/>
      <c r="E29" s="390"/>
      <c r="F29" s="390"/>
      <c r="G29" s="390"/>
      <c r="H29" s="392"/>
      <c r="I29" s="390"/>
      <c r="J29" s="390"/>
      <c r="K29" s="399"/>
      <c r="L29" s="392"/>
      <c r="M29" s="392"/>
      <c r="N29" s="141" t="s">
        <v>29</v>
      </c>
      <c r="O29" s="142" t="str">
        <f>_xlfn.IFNA(IF(HLOOKUP($A28,PROBAST!$A$6:$AE$77,12,)="Low concern","+",IF(HLOOKUP($A28,PROBAST!$A$6:$AE$77,12,)="High concern","-",IF(HLOOKUP($A28,PROBAST!$A$6:$AE$77,12,)="Unclear","?",""))),"")</f>
        <v>+</v>
      </c>
      <c r="P29" s="142" t="str">
        <f>_xlfn.IFNA(IF(HLOOKUP($A28,PROBAST!$A$6:$AE$77,26,)="Low concern","+",IF(HLOOKUP($A28,PROBAST!$A$6:$AE$77,26,)="High concern","-",IF(HLOOKUP($A28,PROBAST!$A$6:$AE$77,26,)="Unclear","?",""))),"")</f>
        <v>+</v>
      </c>
      <c r="Q29" s="142" t="str">
        <f>_xlfn.IFNA(IF(HLOOKUP($A28,PROBAST!$A$6:$AE$77,40,)="Low concern","+",IF(HLOOKUP($A28,PROBAST!$A$6:$AE$77,40,)="High concern","-",IF(HLOOKUP($A28,PROBAST!$A$6:$AE$77,40,)="Unclear","?",""))),"")</f>
        <v>-</v>
      </c>
      <c r="R29" s="143"/>
    </row>
    <row r="30" spans="1:23" s="140" customFormat="1" ht="22.5" customHeight="1" x14ac:dyDescent="0.25">
      <c r="A30" s="395" t="str">
        <f>CHARMS!AP$6</f>
        <v>Ke Wang, 2022</v>
      </c>
      <c r="B30" s="396" t="str">
        <f>HLOOKUP($A30,CHARMS!$A$6:$CQ$89,1,)</f>
        <v>Ke Wang, 2022</v>
      </c>
      <c r="C30" s="389">
        <f>IF($A30="","",HLOOKUP($A30,CHARMS!$A$6:$CQ$89,48,))</f>
        <v>0</v>
      </c>
      <c r="D30" s="393" t="str">
        <f>IF($A30="","",IF(HLOOKUP($A30,CHARMS!$A$6:$CQ$89,40,)=0,"Unkown",HLOOKUP($A30,CHARMS!$A$6:$CQ$89,40,)))</f>
        <v>Unkown</v>
      </c>
      <c r="E30" s="389" t="str">
        <f>IF($A30="","",IF(HLOOKUP($A30,CHARMS!$A$6:$CQ$89,40,)=0,"Unkown",CONCATENATE(HLOOKUP($A30,CHARMS!$A$6:$CQ$89,41,)," (",FIXED((HLOOKUP($A30,CHARMS!$A$6:$CQ$89,41,)/HLOOKUP($A30,CHARMS!$A$6:$CQ$89,40,))*100,1),")")))</f>
        <v>Unkown</v>
      </c>
      <c r="F30" s="389" t="str">
        <f>IF($A30="","",IF(HLOOKUP($A30,CHARMS!$A$6:$CQ$89,33,)=0,"Unkown",HLOOKUP($A30,CHARMS!$A$6:$CQ$89,33,)))</f>
        <v>Unkown</v>
      </c>
      <c r="G30" s="389">
        <f>IF($A30="","",HLOOKUP($A30,CHARMS!$A$6:$CQ$89,79,))</f>
        <v>0</v>
      </c>
      <c r="H30" s="391" t="str">
        <f>IF($A30="","",HLOOKUP($A30,CHARMS!$A$6:$CQ$89,43,))</f>
        <v/>
      </c>
      <c r="I30" s="389">
        <f>IF($A30="","",HLOOKUP($A30,CHARMS!$A$6:$CQ$89,49,))</f>
        <v>0</v>
      </c>
      <c r="J30" s="389">
        <f>IF($A30="","",HLOOKUP($A30,CHARMS!$A$6:$CQ$89,50,))</f>
        <v>0</v>
      </c>
      <c r="K30" s="389" t="str">
        <f>CONCATENATE(IF($A30="","",IF(OR(HLOOKUP($A30,CHARMS!$A$6:$CQ$89,40,)=0,ISTEXT(HLOOKUP($A30,CHARMS!$A$6:$CQ$89,45,))),"n (%): Unkown",CONCATENATE("n (%): ",HLOOKUP($A30,CHARMS!$A$6:$CQ$89,45,)," (",FIXED((HLOOKUP($A30,CHARMS!$A$6:$CQ$89,45,)/HLOOKUP($A30,CHARMS!$A$6:$CQ$89,40,))*100,1),")"))),CHAR(10),IF($A30="","",CONCATENATE("Method: ",HLOOKUP($A30,CHARMS!$A$6:$CQ$89,46,))))</f>
        <v xml:space="preserve">n (%): Unkown
Method: </v>
      </c>
      <c r="L30" s="391" t="str">
        <f>IF($A30="","",CONCATENATE("Int: ",HLOOKUP($A30,CHARMS!$A$6:$CQ$89,75,),CHAR(10),"Ext : ",HLOOKUP($A30,CHARMS!$A$6:$CQ$89,76,)))</f>
        <v xml:space="preserve">Int: 
Ext : </v>
      </c>
      <c r="M30" s="391" t="str">
        <f>IF($A30="","",CONCATENATE("Cal: ",HLOOKUP($A30,CHARMS!$A$6:$CQ$89,53,),CHAR(10),"Disc : ",HLOOKUP($A30,CHARMS!$A$6:$CQ$89,59,),CHAR(10),"Ov: ",HLOOKUP($A30,CHARMS!$A$6:$CQ$89,66,)))</f>
        <v xml:space="preserve">Cal: 
Disc : 
Ov: </v>
      </c>
      <c r="N30" s="136" t="s">
        <v>30</v>
      </c>
      <c r="O30" s="137" t="str">
        <f>_xlfn.IFNA(IF(HLOOKUP($A30,PROBAST!$A$6:$AE$77,11,)="Low RoB","+",IF(HLOOKUP($A30,PROBAST!$A$6:$AE$77,11,)="High RoB","-",IF(HLOOKUP($A30,PROBAST!$A$6:$AE$77,11,)="Unclear","?",""))),"")</f>
        <v>+</v>
      </c>
      <c r="P30" s="137" t="str">
        <f>_xlfn.IFNA(IF(HLOOKUP($A30,PROBAST!$A$6:$AE$77,25,)="Low RoB","+",IF(HLOOKUP($A30,PROBAST!$A$6:$AE$77,25,)="High RoB","-",IF(HLOOKUP($A30,PROBAST!$A$6:$AE$77,25,)="Unclear","?",""))),"")</f>
        <v>?</v>
      </c>
      <c r="Q30" s="137" t="str">
        <f>_xlfn.IFNA(IF(HLOOKUP($A30,PROBAST!$A$6:$AE$77,39,)="Low RoB","+",IF(HLOOKUP($A30,PROBAST!$A$6:$AE$77,39,)="High RoB","-",IF(HLOOKUP($A30,PROBAST!$A$6:$AE$77,39,)="Unclear","?",""))),"")</f>
        <v>+</v>
      </c>
      <c r="R30" s="138" t="str">
        <f>_xlfn.IFNA(IF(HLOOKUP($A30,PROBAST!$A$6:$AE$77,58,)="Low RoB","+",IF(HLOOKUP($A30,PROBAST!$A$6:$AE$77,58,)="High RoB","-",IF(HLOOKUP($A30,PROBAST!$A$6:$AE$77,58,)="Unclear","?",""))),"")</f>
        <v>+</v>
      </c>
      <c r="S30" s="139"/>
      <c r="T30" s="139"/>
      <c r="U30" s="139"/>
      <c r="V30" s="139"/>
      <c r="W30" s="139"/>
    </row>
    <row r="31" spans="1:23" ht="22.5" customHeight="1" thickBot="1" x14ac:dyDescent="0.3">
      <c r="A31" s="395"/>
      <c r="B31" s="397"/>
      <c r="C31" s="390"/>
      <c r="D31" s="394"/>
      <c r="E31" s="390"/>
      <c r="F31" s="390"/>
      <c r="G31" s="390"/>
      <c r="H31" s="392"/>
      <c r="I31" s="390"/>
      <c r="J31" s="390"/>
      <c r="K31" s="399"/>
      <c r="L31" s="392"/>
      <c r="M31" s="392"/>
      <c r="N31" s="141" t="s">
        <v>29</v>
      </c>
      <c r="O31" s="142" t="str">
        <f>_xlfn.IFNA(IF(HLOOKUP($A30,PROBAST!$A$6:$AE$77,12,)="Low concern","+",IF(HLOOKUP($A30,PROBAST!$A$6:$AE$77,12,)="High concern","-",IF(HLOOKUP($A30,PROBAST!$A$6:$AE$77,12,)="Unclear","?",""))),"")</f>
        <v>+</v>
      </c>
      <c r="P31" s="142" t="str">
        <f>_xlfn.IFNA(IF(HLOOKUP($A30,PROBAST!$A$6:$AE$77,26,)="Low concern","+",IF(HLOOKUP($A30,PROBAST!$A$6:$AE$77,26,)="High concern","-",IF(HLOOKUP($A30,PROBAST!$A$6:$AE$77,26,)="Unclear","?",""))),"")</f>
        <v>+</v>
      </c>
      <c r="Q31" s="142" t="str">
        <f>_xlfn.IFNA(IF(HLOOKUP($A30,PROBAST!$A$6:$AE$77,40,)="Low concern","+",IF(HLOOKUP($A30,PROBAST!$A$6:$AE$77,40,)="High concern","-",IF(HLOOKUP($A30,PROBAST!$A$6:$AE$77,40,)="Unclear","?",""))),"")</f>
        <v>+</v>
      </c>
      <c r="R31" s="143"/>
    </row>
    <row r="32" spans="1:23" s="140" customFormat="1" ht="22.5" customHeight="1" x14ac:dyDescent="0.25">
      <c r="A32" s="395" t="str">
        <f>CHARMS!AS$6</f>
        <v>Xiong Tian, 2022</v>
      </c>
      <c r="B32" s="396" t="str">
        <f>HLOOKUP($A32,CHARMS!$A$6:$CQ$89,1,)</f>
        <v>Xiong Tian, 2022</v>
      </c>
      <c r="C32" s="389">
        <f>IF($A32="","",HLOOKUP($A32,CHARMS!$A$6:$CQ$89,48,))</f>
        <v>0</v>
      </c>
      <c r="D32" s="393" t="str">
        <f>IF($A32="","",IF(HLOOKUP($A32,CHARMS!$A$6:$CQ$89,40,)=0,"Unkown",HLOOKUP($A32,CHARMS!$A$6:$CQ$89,40,)))</f>
        <v>Unkown</v>
      </c>
      <c r="E32" s="389" t="str">
        <f>IF($A32="","",IF(HLOOKUP($A32,CHARMS!$A$6:$CQ$89,40,)=0,"Unkown",CONCATENATE(HLOOKUP($A32,CHARMS!$A$6:$CQ$89,41,)," (",FIXED((HLOOKUP($A32,CHARMS!$A$6:$CQ$89,41,)/HLOOKUP($A32,CHARMS!$A$6:$CQ$89,40,))*100,1),")")))</f>
        <v>Unkown</v>
      </c>
      <c r="F32" s="389" t="str">
        <f>IF($A32="","",IF(HLOOKUP($A32,CHARMS!$A$6:$CQ$89,33,)=0,"Unkown",HLOOKUP($A32,CHARMS!$A$6:$CQ$89,33,)))</f>
        <v>Unkown</v>
      </c>
      <c r="G32" s="389">
        <f>IF($A32="","",HLOOKUP($A32,CHARMS!$A$6:$CQ$89,79,))</f>
        <v>0</v>
      </c>
      <c r="H32" s="391" t="str">
        <f>IF($A32="","",HLOOKUP($A32,CHARMS!$A$6:$CQ$89,43,))</f>
        <v/>
      </c>
      <c r="I32" s="389">
        <f>IF($A32="","",HLOOKUP($A32,CHARMS!$A$6:$CQ$89,49,))</f>
        <v>0</v>
      </c>
      <c r="J32" s="389">
        <f>IF($A32="","",HLOOKUP($A32,CHARMS!$A$6:$CQ$89,50,))</f>
        <v>0</v>
      </c>
      <c r="K32" s="389" t="str">
        <f>CONCATENATE(IF($A32="","",IF(OR(HLOOKUP($A32,CHARMS!$A$6:$CQ$89,40,)=0,ISTEXT(HLOOKUP($A32,CHARMS!$A$6:$CQ$89,45,))),"n (%): Unkown",CONCATENATE("n (%): ",HLOOKUP($A32,CHARMS!$A$6:$CQ$89,45,)," (",FIXED((HLOOKUP($A32,CHARMS!$A$6:$CQ$89,45,)/HLOOKUP($A32,CHARMS!$A$6:$CQ$89,40,))*100,1),")"))),CHAR(10),IF($A32="","",CONCATENATE("Method: ",HLOOKUP($A32,CHARMS!$A$6:$CQ$89,46,))))</f>
        <v xml:space="preserve">n (%): Unkown
Method: </v>
      </c>
      <c r="L32" s="391" t="str">
        <f>IF($A32="","",CONCATENATE("Int: ",HLOOKUP($A32,CHARMS!$A$6:$CQ$89,75,),CHAR(10),"Ext : ",HLOOKUP($A32,CHARMS!$A$6:$CQ$89,76,)))</f>
        <v xml:space="preserve">Int: 
Ext : </v>
      </c>
      <c r="M32" s="391" t="str">
        <f>IF($A32="","",CONCATENATE("Cal: ",HLOOKUP($A32,CHARMS!$A$6:$CQ$89,53,),CHAR(10),"Disc : ",HLOOKUP($A32,CHARMS!$A$6:$CQ$89,59,),CHAR(10),"Ov: ",HLOOKUP($A32,CHARMS!$A$6:$CQ$89,66,)))</f>
        <v xml:space="preserve">Cal: 
Disc : 
Ov: </v>
      </c>
      <c r="N32" s="136" t="s">
        <v>30</v>
      </c>
      <c r="O32" s="137" t="str">
        <f>_xlfn.IFNA(IF(HLOOKUP($A32,PROBAST!$A$6:$AE$77,11,)="Low RoB","+",IF(HLOOKUP($A32,PROBAST!$A$6:$AE$77,11,)="High RoB","-",IF(HLOOKUP($A32,PROBAST!$A$6:$AE$77,11,)="Unclear","?",""))),"")</f>
        <v>+</v>
      </c>
      <c r="P32" s="137" t="str">
        <f>_xlfn.IFNA(IF(HLOOKUP($A32,PROBAST!$A$6:$AE$77,25,)="Low RoB","+",IF(HLOOKUP($A32,PROBAST!$A$6:$AE$77,25,)="High RoB","-",IF(HLOOKUP($A32,PROBAST!$A$6:$AE$77,25,)="Unclear","?",""))),"")</f>
        <v>+</v>
      </c>
      <c r="Q32" s="137" t="str">
        <f>_xlfn.IFNA(IF(HLOOKUP($A32,PROBAST!$A$6:$AE$77,39,)="Low RoB","+",IF(HLOOKUP($A32,PROBAST!$A$6:$AE$77,39,)="High RoB","-",IF(HLOOKUP($A32,PROBAST!$A$6:$AE$77,39,)="Unclear","?",""))),"")</f>
        <v>+</v>
      </c>
      <c r="R32" s="138" t="str">
        <f>_xlfn.IFNA(IF(HLOOKUP($A32,PROBAST!$A$6:$AE$77,58,)="Low RoB","+",IF(HLOOKUP($A32,PROBAST!$A$6:$AE$77,58,)="High RoB","-",IF(HLOOKUP($A32,PROBAST!$A$6:$AE$77,58,)="Unclear","?",""))),"")</f>
        <v>+</v>
      </c>
      <c r="S32" s="139"/>
      <c r="T32" s="139"/>
      <c r="U32" s="139"/>
      <c r="V32" s="139"/>
      <c r="W32" s="139"/>
    </row>
    <row r="33" spans="1:23" ht="22.5" customHeight="1" thickBot="1" x14ac:dyDescent="0.3">
      <c r="A33" s="395"/>
      <c r="B33" s="397"/>
      <c r="C33" s="390"/>
      <c r="D33" s="394"/>
      <c r="E33" s="390"/>
      <c r="F33" s="390"/>
      <c r="G33" s="390"/>
      <c r="H33" s="392"/>
      <c r="I33" s="390"/>
      <c r="J33" s="390"/>
      <c r="K33" s="399"/>
      <c r="L33" s="392"/>
      <c r="M33" s="392"/>
      <c r="N33" s="141" t="s">
        <v>29</v>
      </c>
      <c r="O33" s="142" t="str">
        <f>_xlfn.IFNA(IF(HLOOKUP($A32,PROBAST!$A$6:$AE$77,12,)="Low concern","+",IF(HLOOKUP($A32,PROBAST!$A$6:$AE$77,12,)="High concern","-",IF(HLOOKUP($A32,PROBAST!$A$6:$AE$77,12,)="Unclear","?",""))),"")</f>
        <v>+</v>
      </c>
      <c r="P33" s="142" t="str">
        <f>_xlfn.IFNA(IF(HLOOKUP($A32,PROBAST!$A$6:$AE$77,26,)="Low concern","+",IF(HLOOKUP($A32,PROBAST!$A$6:$AE$77,26,)="High concern","-",IF(HLOOKUP($A32,PROBAST!$A$6:$AE$77,26,)="Unclear","?",""))),"")</f>
        <v>-</v>
      </c>
      <c r="Q33" s="142" t="str">
        <f>_xlfn.IFNA(IF(HLOOKUP($A32,PROBAST!$A$6:$AE$77,40,)="Low concern","+",IF(HLOOKUP($A32,PROBAST!$A$6:$AE$77,40,)="High concern","-",IF(HLOOKUP($A32,PROBAST!$A$6:$AE$77,40,)="Unclear","?",""))),"")</f>
        <v>+</v>
      </c>
      <c r="R33" s="143"/>
    </row>
    <row r="34" spans="1:23" s="140" customFormat="1" ht="22.5" customHeight="1" x14ac:dyDescent="0.25">
      <c r="A34" s="395" t="str">
        <f>CHARMS!AV$6</f>
        <v>Dongjie Chen, 2021</v>
      </c>
      <c r="B34" s="396" t="str">
        <f>HLOOKUP($A34,CHARMS!$A$6:$CQ$89,1,)</f>
        <v>Dongjie Chen, 2021</v>
      </c>
      <c r="C34" s="389">
        <f>IF($A34="","",HLOOKUP($A34,CHARMS!$A$6:$CQ$89,48,))</f>
        <v>0</v>
      </c>
      <c r="D34" s="393" t="str">
        <f>IF($A34="","",IF(HLOOKUP($A34,CHARMS!$A$6:$CQ$89,40,)=0,"Unkown",HLOOKUP($A34,CHARMS!$A$6:$CQ$89,40,)))</f>
        <v>Unkown</v>
      </c>
      <c r="E34" s="389" t="str">
        <f>IF($A34="","",IF(HLOOKUP($A34,CHARMS!$A$6:$CQ$89,40,)=0,"Unkown",CONCATENATE(HLOOKUP($A34,CHARMS!$A$6:$CQ$89,41,)," (",FIXED((HLOOKUP($A34,CHARMS!$A$6:$CQ$89,41,)/HLOOKUP($A34,CHARMS!$A$6:$CQ$89,40,))*100,1),")")))</f>
        <v>Unkown</v>
      </c>
      <c r="F34" s="389" t="str">
        <f>IF($A34="","",IF(HLOOKUP($A34,CHARMS!$A$6:$CQ$89,33,)=0,"Unkown",HLOOKUP($A34,CHARMS!$A$6:$CQ$89,33,)))</f>
        <v>Unkown</v>
      </c>
      <c r="G34" s="389">
        <f>IF($A34="","",HLOOKUP($A34,CHARMS!$A$6:$CQ$89,79,))</f>
        <v>0</v>
      </c>
      <c r="H34" s="391" t="str">
        <f>IF($A34="","",HLOOKUP($A34,CHARMS!$A$6:$CQ$89,43,))</f>
        <v/>
      </c>
      <c r="I34" s="389">
        <f>IF($A34="","",HLOOKUP($A34,CHARMS!$A$6:$CQ$89,49,))</f>
        <v>0</v>
      </c>
      <c r="J34" s="389">
        <f>IF($A34="","",HLOOKUP($A34,CHARMS!$A$6:$CQ$89,50,))</f>
        <v>0</v>
      </c>
      <c r="K34" s="389" t="str">
        <f>CONCATENATE(IF($A34="","",IF(OR(HLOOKUP($A34,CHARMS!$A$6:$CQ$89,40,)=0,ISTEXT(HLOOKUP($A34,CHARMS!$A$6:$CQ$89,45,))),"n (%): Unkown",CONCATENATE("n (%): ",HLOOKUP($A34,CHARMS!$A$6:$CQ$89,45,)," (",FIXED((HLOOKUP($A34,CHARMS!$A$6:$CQ$89,45,)/HLOOKUP($A34,CHARMS!$A$6:$CQ$89,40,))*100,1),")"))),CHAR(10),IF($A34="","",CONCATENATE("Method: ",HLOOKUP($A34,CHARMS!$A$6:$CQ$89,46,))))</f>
        <v xml:space="preserve">n (%): Unkown
Method: </v>
      </c>
      <c r="L34" s="391" t="str">
        <f>IF($A34="","",CONCATENATE("Int: ",HLOOKUP($A34,CHARMS!$A$6:$CQ$89,75,),CHAR(10),"Ext : ",HLOOKUP($A34,CHARMS!$A$6:$CQ$89,76,)))</f>
        <v xml:space="preserve">Int: 
Ext : </v>
      </c>
      <c r="M34" s="391" t="str">
        <f>IF($A34="","",CONCATENATE("Cal: ",HLOOKUP($A34,CHARMS!$A$6:$CQ$89,53,),CHAR(10),"Disc : ",HLOOKUP($A34,CHARMS!$A$6:$CQ$89,59,),CHAR(10),"Ov: ",HLOOKUP($A34,CHARMS!$A$6:$CQ$89,66,)))</f>
        <v xml:space="preserve">Cal: 
Disc : 
Ov: </v>
      </c>
      <c r="N34" s="136" t="s">
        <v>30</v>
      </c>
      <c r="O34" s="137" t="str">
        <f>_xlfn.IFNA(IF(HLOOKUP($A34,PROBAST!$A$6:$AE$77,11,)="Low RoB","+",IF(HLOOKUP($A34,PROBAST!$A$6:$AE$77,11,)="High RoB","-",IF(HLOOKUP($A34,PROBAST!$A$6:$AE$77,11,)="Unclear","?",""))),"")</f>
        <v>+</v>
      </c>
      <c r="P34" s="137" t="str">
        <f>_xlfn.IFNA(IF(HLOOKUP($A34,PROBAST!$A$6:$AE$77,25,)="Low RoB","+",IF(HLOOKUP($A34,PROBAST!$A$6:$AE$77,25,)="High RoB","-",IF(HLOOKUP($A34,PROBAST!$A$6:$AE$77,25,)="Unclear","?",""))),"")</f>
        <v>+</v>
      </c>
      <c r="Q34" s="137" t="str">
        <f>_xlfn.IFNA(IF(HLOOKUP($A34,PROBAST!$A$6:$AE$77,39,)="Low RoB","+",IF(HLOOKUP($A34,PROBAST!$A$6:$AE$77,39,)="High RoB","-",IF(HLOOKUP($A34,PROBAST!$A$6:$AE$77,39,)="Unclear","?",""))),"")</f>
        <v>+</v>
      </c>
      <c r="R34" s="138" t="str">
        <f>_xlfn.IFNA(IF(HLOOKUP($A34,PROBAST!$A$6:$AE$77,58,)="Low RoB","+",IF(HLOOKUP($A34,PROBAST!$A$6:$AE$77,58,)="High RoB","-",IF(HLOOKUP($A34,PROBAST!$A$6:$AE$77,58,)="Unclear","?",""))),"")</f>
        <v>+</v>
      </c>
      <c r="S34" s="139"/>
      <c r="T34" s="139"/>
      <c r="U34" s="139"/>
      <c r="V34" s="139"/>
      <c r="W34" s="139"/>
    </row>
    <row r="35" spans="1:23" ht="22.5" customHeight="1" thickBot="1" x14ac:dyDescent="0.3">
      <c r="A35" s="395"/>
      <c r="B35" s="397"/>
      <c r="C35" s="390"/>
      <c r="D35" s="394"/>
      <c r="E35" s="390"/>
      <c r="F35" s="390"/>
      <c r="G35" s="390"/>
      <c r="H35" s="392"/>
      <c r="I35" s="390"/>
      <c r="J35" s="390"/>
      <c r="K35" s="399"/>
      <c r="L35" s="392"/>
      <c r="M35" s="392"/>
      <c r="N35" s="141" t="s">
        <v>29</v>
      </c>
      <c r="O35" s="142" t="str">
        <f>_xlfn.IFNA(IF(HLOOKUP($A34,PROBAST!$A$6:$AE$77,12,)="Low concern","+",IF(HLOOKUP($A34,PROBAST!$A$6:$AE$77,12,)="High concern","-",IF(HLOOKUP($A34,PROBAST!$A$6:$AE$77,12,)="Unclear","?",""))),"")</f>
        <v>+</v>
      </c>
      <c r="P35" s="142" t="str">
        <f>_xlfn.IFNA(IF(HLOOKUP($A34,PROBAST!$A$6:$AE$77,26,)="Low concern","+",IF(HLOOKUP($A34,PROBAST!$A$6:$AE$77,26,)="High concern","-",IF(HLOOKUP($A34,PROBAST!$A$6:$AE$77,26,)="Unclear","?",""))),"")</f>
        <v>+</v>
      </c>
      <c r="Q35" s="142" t="str">
        <f>_xlfn.IFNA(IF(HLOOKUP($A34,PROBAST!$A$6:$AE$77,40,)="Low concern","+",IF(HLOOKUP($A34,PROBAST!$A$6:$AE$77,40,)="High concern","-",IF(HLOOKUP($A34,PROBAST!$A$6:$AE$77,40,)="Unclear","?",""))),"")</f>
        <v>-</v>
      </c>
      <c r="R35" s="143"/>
    </row>
    <row r="36" spans="1:23" s="140" customFormat="1" ht="22.5" customHeight="1" x14ac:dyDescent="0.25">
      <c r="A36" s="395" t="str">
        <f>CHARMS!AY$6</f>
        <v>Yanhong Shou, 2021</v>
      </c>
      <c r="B36" s="396" t="str">
        <f>HLOOKUP($A36,CHARMS!$A$6:$CQ$89,1,)</f>
        <v>Yanhong Shou, 2021</v>
      </c>
      <c r="C36" s="389">
        <f>IF($A36="","",HLOOKUP($A36,CHARMS!$A$6:$CQ$89,48,))</f>
        <v>0</v>
      </c>
      <c r="D36" s="393" t="str">
        <f>IF($A36="","",IF(HLOOKUP($A36,CHARMS!$A$6:$CQ$89,40,)=0,"Unkown",HLOOKUP($A36,CHARMS!$A$6:$CQ$89,40,)))</f>
        <v>Unkown</v>
      </c>
      <c r="E36" s="389" t="str">
        <f>IF($A36="","",IF(HLOOKUP($A36,CHARMS!$A$6:$CQ$89,40,)=0,"Unkown",CONCATENATE(HLOOKUP($A36,CHARMS!$A$6:$CQ$89,41,)," (",FIXED((HLOOKUP($A36,CHARMS!$A$6:$CQ$89,41,)/HLOOKUP($A36,CHARMS!$A$6:$CQ$89,40,))*100,1),")")))</f>
        <v>Unkown</v>
      </c>
      <c r="F36" s="389" t="str">
        <f>IF($A36="","",IF(HLOOKUP($A36,CHARMS!$A$6:$CQ$89,33,)=0,"Unkown",HLOOKUP($A36,CHARMS!$A$6:$CQ$89,33,)))</f>
        <v>Unkown</v>
      </c>
      <c r="G36" s="389">
        <f>IF($A36="","",HLOOKUP($A36,CHARMS!$A$6:$CQ$89,79,))</f>
        <v>0</v>
      </c>
      <c r="H36" s="391" t="str">
        <f>IF($A36="","",HLOOKUP($A36,CHARMS!$A$6:$CQ$89,43,))</f>
        <v/>
      </c>
      <c r="I36" s="389">
        <f>IF($A36="","",HLOOKUP($A36,CHARMS!$A$6:$CQ$89,49,))</f>
        <v>0</v>
      </c>
      <c r="J36" s="389">
        <f>IF($A36="","",HLOOKUP($A36,CHARMS!$A$6:$CQ$89,50,))</f>
        <v>0</v>
      </c>
      <c r="K36" s="389" t="str">
        <f>CONCATENATE(IF($A36="","",IF(OR(HLOOKUP($A36,CHARMS!$A$6:$CQ$89,40,)=0,ISTEXT(HLOOKUP($A36,CHARMS!$A$6:$CQ$89,45,))),"n (%): Unkown",CONCATENATE("n (%): ",HLOOKUP($A36,CHARMS!$A$6:$CQ$89,45,)," (",FIXED((HLOOKUP($A36,CHARMS!$A$6:$CQ$89,45,)/HLOOKUP($A36,CHARMS!$A$6:$CQ$89,40,))*100,1),")"))),CHAR(10),IF($A36="","",CONCATENATE("Method: ",HLOOKUP($A36,CHARMS!$A$6:$CQ$89,46,))))</f>
        <v xml:space="preserve">n (%): Unkown
Method: </v>
      </c>
      <c r="L36" s="391" t="str">
        <f>IF($A36="","",CONCATENATE("Int: ",HLOOKUP($A36,CHARMS!$A$6:$CQ$89,75,),CHAR(10),"Ext : ",HLOOKUP($A36,CHARMS!$A$6:$CQ$89,76,)))</f>
        <v xml:space="preserve">Int: 
Ext : </v>
      </c>
      <c r="M36" s="391" t="str">
        <f>IF($A36="","",CONCATENATE("Cal: ",HLOOKUP($A36,CHARMS!$A$6:$CQ$89,53,),CHAR(10),"Disc : ",HLOOKUP($A36,CHARMS!$A$6:$CQ$89,59,),CHAR(10),"Ov: ",HLOOKUP($A36,CHARMS!$A$6:$CQ$89,66,)))</f>
        <v xml:space="preserve">Cal: 
Disc : 
Ov: </v>
      </c>
      <c r="N36" s="136" t="s">
        <v>30</v>
      </c>
      <c r="O36" s="137" t="str">
        <f>_xlfn.IFNA(IF(HLOOKUP($A36,PROBAST!$A$6:$AE$77,11,)="Low RoB","+",IF(HLOOKUP($A36,PROBAST!$A$6:$AE$77,11,)="High RoB","-",IF(HLOOKUP($A36,PROBAST!$A$6:$AE$77,11,)="Unclear","?",""))),"")</f>
        <v>+</v>
      </c>
      <c r="P36" s="137" t="str">
        <f>_xlfn.IFNA(IF(HLOOKUP($A36,PROBAST!$A$6:$AE$77,25,)="Low RoB","+",IF(HLOOKUP($A36,PROBAST!$A$6:$AE$77,25,)="High RoB","-",IF(HLOOKUP($A36,PROBAST!$A$6:$AE$77,25,)="Unclear","?",""))),"")</f>
        <v>+</v>
      </c>
      <c r="Q36" s="137" t="str">
        <f>_xlfn.IFNA(IF(HLOOKUP($A36,PROBAST!$A$6:$AE$77,39,)="Low RoB","+",IF(HLOOKUP($A36,PROBAST!$A$6:$AE$77,39,)="High RoB","-",IF(HLOOKUP($A36,PROBAST!$A$6:$AE$77,39,)="Unclear","?",""))),"")</f>
        <v>+</v>
      </c>
      <c r="R36" s="138" t="str">
        <f>_xlfn.IFNA(IF(HLOOKUP($A36,PROBAST!$A$6:$AE$77,58,)="Low RoB","+",IF(HLOOKUP($A36,PROBAST!$A$6:$AE$77,58,)="High RoB","-",IF(HLOOKUP($A36,PROBAST!$A$6:$AE$77,58,)="Unclear","?",""))),"")</f>
        <v>+</v>
      </c>
      <c r="S36" s="139"/>
      <c r="T36" s="139"/>
      <c r="U36" s="139"/>
      <c r="V36" s="139"/>
      <c r="W36" s="139"/>
    </row>
    <row r="37" spans="1:23" ht="22.5" customHeight="1" thickBot="1" x14ac:dyDescent="0.3">
      <c r="A37" s="395"/>
      <c r="B37" s="397"/>
      <c r="C37" s="390"/>
      <c r="D37" s="394"/>
      <c r="E37" s="390"/>
      <c r="F37" s="390"/>
      <c r="G37" s="390"/>
      <c r="H37" s="392"/>
      <c r="I37" s="390"/>
      <c r="J37" s="390"/>
      <c r="K37" s="399"/>
      <c r="L37" s="392"/>
      <c r="M37" s="392"/>
      <c r="N37" s="141" t="s">
        <v>29</v>
      </c>
      <c r="O37" s="142" t="str">
        <f>_xlfn.IFNA(IF(HLOOKUP($A36,PROBAST!$A$6:$AE$77,12,)="Low concern","+",IF(HLOOKUP($A36,PROBAST!$A$6:$AE$77,12,)="High concern","-",IF(HLOOKUP($A36,PROBAST!$A$6:$AE$77,12,)="Unclear","?",""))),"")</f>
        <v>+</v>
      </c>
      <c r="P37" s="142" t="str">
        <f>_xlfn.IFNA(IF(HLOOKUP($A36,PROBAST!$A$6:$AE$77,26,)="Low concern","+",IF(HLOOKUP($A36,PROBAST!$A$6:$AE$77,26,)="High concern","-",IF(HLOOKUP($A36,PROBAST!$A$6:$AE$77,26,)="Unclear","?",""))),"")</f>
        <v>+</v>
      </c>
      <c r="Q37" s="142" t="str">
        <f>_xlfn.IFNA(IF(HLOOKUP($A36,PROBAST!$A$6:$AE$77,40,)="Low concern","+",IF(HLOOKUP($A36,PROBAST!$A$6:$AE$77,40,)="High concern","-",IF(HLOOKUP($A36,PROBAST!$A$6:$AE$77,40,)="Unclear","?",""))),"")</f>
        <v>+</v>
      </c>
      <c r="R37" s="143"/>
    </row>
    <row r="38" spans="1:23" s="140" customFormat="1" ht="22.5" customHeight="1" x14ac:dyDescent="0.25">
      <c r="A38" s="395" t="str">
        <f>CHARMS!BB$6</f>
        <v>Xiangqian Zhang, 2023</v>
      </c>
      <c r="B38" s="396" t="str">
        <f>HLOOKUP($A38,CHARMS!$A$6:$CQ$89,1,)</f>
        <v>Xiangqian Zhang, 2023</v>
      </c>
      <c r="C38" s="389">
        <f>IF($A38="","",HLOOKUP($A38,CHARMS!$A$6:$CQ$89,48,))</f>
        <v>0</v>
      </c>
      <c r="D38" s="393" t="str">
        <f>IF($A38="","",IF(HLOOKUP($A38,CHARMS!$A$6:$CQ$89,40,)=0,"Unkown",HLOOKUP($A38,CHARMS!$A$6:$CQ$89,40,)))</f>
        <v>Unkown</v>
      </c>
      <c r="E38" s="389" t="str">
        <f>IF($A38="","",IF(HLOOKUP($A38,CHARMS!$A$6:$CQ$89,40,)=0,"Unkown",CONCATENATE(HLOOKUP($A38,CHARMS!$A$6:$CQ$89,41,)," (",FIXED((HLOOKUP($A38,CHARMS!$A$6:$CQ$89,41,)/HLOOKUP($A38,CHARMS!$A$6:$CQ$89,40,))*100,1),")")))</f>
        <v>Unkown</v>
      </c>
      <c r="F38" s="389" t="str">
        <f>IF($A38="","",IF(HLOOKUP($A38,CHARMS!$A$6:$CQ$89,33,)=0,"Unkown",HLOOKUP($A38,CHARMS!$A$6:$CQ$89,33,)))</f>
        <v>Unkown</v>
      </c>
      <c r="G38" s="389">
        <f>IF($A38="","",HLOOKUP($A38,CHARMS!$A$6:$CQ$89,79,))</f>
        <v>0</v>
      </c>
      <c r="H38" s="391" t="str">
        <f>IF($A38="","",HLOOKUP($A38,CHARMS!$A$6:$CQ$89,43,))</f>
        <v/>
      </c>
      <c r="I38" s="389">
        <f>IF($A38="","",HLOOKUP($A38,CHARMS!$A$6:$CQ$89,49,))</f>
        <v>0</v>
      </c>
      <c r="J38" s="389">
        <f>IF($A38="","",HLOOKUP($A38,CHARMS!$A$6:$CQ$89,50,))</f>
        <v>0</v>
      </c>
      <c r="K38" s="389" t="str">
        <f>CONCATENATE(IF($A38="","",IF(OR(HLOOKUP($A38,CHARMS!$A$6:$CQ$89,40,)=0,ISTEXT(HLOOKUP($A38,CHARMS!$A$6:$CQ$89,45,))),"n (%): Unkown",CONCATENATE("n (%): ",HLOOKUP($A38,CHARMS!$A$6:$CQ$89,45,)," (",FIXED((HLOOKUP($A38,CHARMS!$A$6:$CQ$89,45,)/HLOOKUP($A38,CHARMS!$A$6:$CQ$89,40,))*100,1),")"))),CHAR(10),IF($A38="","",CONCATENATE("Method: ",HLOOKUP($A38,CHARMS!$A$6:$CQ$89,46,))))</f>
        <v xml:space="preserve">n (%): Unkown
Method: </v>
      </c>
      <c r="L38" s="391" t="str">
        <f>IF($A38="","",CONCATENATE("Int: ",HLOOKUP($A38,CHARMS!$A$6:$CQ$89,75,),CHAR(10),"Ext : ",HLOOKUP($A38,CHARMS!$A$6:$CQ$89,76,)))</f>
        <v xml:space="preserve">Int: 
Ext : </v>
      </c>
      <c r="M38" s="391" t="str">
        <f>IF($A38="","",CONCATENATE("Cal: ",HLOOKUP($A38,CHARMS!$A$6:$CQ$89,53,),CHAR(10),"Disc : ",HLOOKUP($A38,CHARMS!$A$6:$CQ$89,59,),CHAR(10),"Ov: ",HLOOKUP($A38,CHARMS!$A$6:$CQ$89,66,)))</f>
        <v xml:space="preserve">Cal: 
Disc : 
Ov: </v>
      </c>
      <c r="N38" s="136" t="s">
        <v>30</v>
      </c>
      <c r="O38" s="137" t="str">
        <f>_xlfn.IFNA(IF(HLOOKUP($A38,PROBAST!$A$6:$AE$77,11,)="Low RoB","+",IF(HLOOKUP($A38,PROBAST!$A$6:$AE$77,11,)="High RoB","-",IF(HLOOKUP($A38,PROBAST!$A$6:$AE$77,11,)="Unclear","?",""))),"")</f>
        <v>-</v>
      </c>
      <c r="P38" s="137" t="str">
        <f>_xlfn.IFNA(IF(HLOOKUP($A38,PROBAST!$A$6:$AE$77,25,)="Low RoB","+",IF(HLOOKUP($A38,PROBAST!$A$6:$AE$77,25,)="High RoB","-",IF(HLOOKUP($A38,PROBAST!$A$6:$AE$77,25,)="Unclear","?",""))),"")</f>
        <v>+</v>
      </c>
      <c r="Q38" s="137" t="str">
        <f>_xlfn.IFNA(IF(HLOOKUP($A38,PROBAST!$A$6:$AE$77,39,)="Low RoB","+",IF(HLOOKUP($A38,PROBAST!$A$6:$AE$77,39,)="High RoB","-",IF(HLOOKUP($A38,PROBAST!$A$6:$AE$77,39,)="Unclear","?",""))),"")</f>
        <v>+</v>
      </c>
      <c r="R38" s="138" t="str">
        <f>_xlfn.IFNA(IF(HLOOKUP($A38,PROBAST!$A$6:$AE$77,58,)="Low RoB","+",IF(HLOOKUP($A38,PROBAST!$A$6:$AE$77,58,)="High RoB","-",IF(HLOOKUP($A38,PROBAST!$A$6:$AE$77,58,)="Unclear","?",""))),"")</f>
        <v>+</v>
      </c>
      <c r="S38" s="139"/>
      <c r="T38" s="139"/>
      <c r="U38" s="139"/>
      <c r="V38" s="139"/>
      <c r="W38" s="139"/>
    </row>
    <row r="39" spans="1:23" ht="22.5" customHeight="1" thickBot="1" x14ac:dyDescent="0.3">
      <c r="A39" s="395"/>
      <c r="B39" s="397"/>
      <c r="C39" s="390"/>
      <c r="D39" s="394"/>
      <c r="E39" s="390"/>
      <c r="F39" s="390"/>
      <c r="G39" s="390"/>
      <c r="H39" s="392"/>
      <c r="I39" s="390"/>
      <c r="J39" s="390"/>
      <c r="K39" s="399"/>
      <c r="L39" s="392"/>
      <c r="M39" s="392"/>
      <c r="N39" s="141" t="s">
        <v>29</v>
      </c>
      <c r="O39" s="142" t="str">
        <f>_xlfn.IFNA(IF(HLOOKUP($A38,PROBAST!$A$6:$AE$77,12,)="Low concern","+",IF(HLOOKUP($A38,PROBAST!$A$6:$AE$77,12,)="High concern","-",IF(HLOOKUP($A38,PROBAST!$A$6:$AE$77,12,)="Unclear","?",""))),"")</f>
        <v>+</v>
      </c>
      <c r="P39" s="142" t="str">
        <f>_xlfn.IFNA(IF(HLOOKUP($A38,PROBAST!$A$6:$AE$77,26,)="Low concern","+",IF(HLOOKUP($A38,PROBAST!$A$6:$AE$77,26,)="High concern","-",IF(HLOOKUP($A38,PROBAST!$A$6:$AE$77,26,)="Unclear","?",""))),"")</f>
        <v>+</v>
      </c>
      <c r="Q39" s="142" t="str">
        <f>_xlfn.IFNA(IF(HLOOKUP($A38,PROBAST!$A$6:$AE$77,40,)="Low concern","+",IF(HLOOKUP($A38,PROBAST!$A$6:$AE$77,40,)="High concern","-",IF(HLOOKUP($A38,PROBAST!$A$6:$AE$77,40,)="Unclear","?",""))),"")</f>
        <v>+</v>
      </c>
      <c r="R39" s="143"/>
    </row>
    <row r="40" spans="1:23" s="140" customFormat="1" ht="22.5" customHeight="1" x14ac:dyDescent="0.25">
      <c r="A40" s="395" t="str">
        <f>CHARMS!BE$6</f>
        <v>Chenyu Nie, 2022</v>
      </c>
      <c r="B40" s="396" t="str">
        <f>HLOOKUP($A40,CHARMS!$A$6:$CQ$89,1,)</f>
        <v>Chenyu Nie, 2022</v>
      </c>
      <c r="C40" s="389">
        <f>IF($A40="","",HLOOKUP($A40,CHARMS!$A$6:$CQ$89,48,))</f>
        <v>0</v>
      </c>
      <c r="D40" s="393" t="str">
        <f>IF($A40="","",IF(HLOOKUP($A40,CHARMS!$A$6:$CQ$89,40,)=0,"Unkown",HLOOKUP($A40,CHARMS!$A$6:$CQ$89,40,)))</f>
        <v>Unkown</v>
      </c>
      <c r="E40" s="389" t="str">
        <f>IF($A40="","",IF(HLOOKUP($A40,CHARMS!$A$6:$CQ$89,40,)=0,"Unkown",CONCATENATE(HLOOKUP($A40,CHARMS!$A$6:$CQ$89,41,)," (",FIXED((HLOOKUP($A40,CHARMS!$A$6:$CQ$89,41,)/HLOOKUP($A40,CHARMS!$A$6:$CQ$89,40,))*100,1),")")))</f>
        <v>Unkown</v>
      </c>
      <c r="F40" s="389" t="str">
        <f>IF($A40="","",IF(HLOOKUP($A40,CHARMS!$A$6:$CQ$89,33,)=0,"Unkown",HLOOKUP($A40,CHARMS!$A$6:$CQ$89,33,)))</f>
        <v>Unkown</v>
      </c>
      <c r="G40" s="389">
        <f>IF($A40="","",HLOOKUP($A40,CHARMS!$A$6:$CQ$89,79,))</f>
        <v>0</v>
      </c>
      <c r="H40" s="391" t="str">
        <f>IF($A40="","",HLOOKUP($A40,CHARMS!$A$6:$CQ$89,43,))</f>
        <v/>
      </c>
      <c r="I40" s="389">
        <f>IF($A40="","",HLOOKUP($A40,CHARMS!$A$6:$CQ$89,49,))</f>
        <v>0</v>
      </c>
      <c r="J40" s="389">
        <f>IF($A40="","",HLOOKUP($A40,CHARMS!$A$6:$CQ$89,50,))</f>
        <v>0</v>
      </c>
      <c r="K40" s="389" t="str">
        <f>CONCATENATE(IF($A40="","",IF(OR(HLOOKUP($A40,CHARMS!$A$6:$CQ$89,40,)=0,ISTEXT(HLOOKUP($A40,CHARMS!$A$6:$CQ$89,45,))),"n (%): Unkown",CONCATENATE("n (%): ",HLOOKUP($A40,CHARMS!$A$6:$CQ$89,45,)," (",FIXED((HLOOKUP($A40,CHARMS!$A$6:$CQ$89,45,)/HLOOKUP($A40,CHARMS!$A$6:$CQ$89,40,))*100,1),")"))),CHAR(10),IF($A40="","",CONCATENATE("Method: ",HLOOKUP($A40,CHARMS!$A$6:$CQ$89,46,))))</f>
        <v xml:space="preserve">n (%): Unkown
Method: </v>
      </c>
      <c r="L40" s="391" t="str">
        <f>IF($A40="","",CONCATENATE("Int: ",HLOOKUP($A40,CHARMS!$A$6:$CQ$89,75,),CHAR(10),"Ext : ",HLOOKUP($A40,CHARMS!$A$6:$CQ$89,76,)))</f>
        <v xml:space="preserve">Int: 
Ext : </v>
      </c>
      <c r="M40" s="391" t="str">
        <f>IF($A40="","",CONCATENATE("Cal: ",HLOOKUP($A40,CHARMS!$A$6:$CQ$89,53,),CHAR(10),"Disc : ",HLOOKUP($A40,CHARMS!$A$6:$CQ$89,59,),CHAR(10),"Ov: ",HLOOKUP($A40,CHARMS!$A$6:$CQ$89,66,)))</f>
        <v xml:space="preserve">Cal: 
Disc : 
Ov: </v>
      </c>
      <c r="N40" s="136" t="s">
        <v>30</v>
      </c>
      <c r="O40" s="137" t="str">
        <f>_xlfn.IFNA(IF(HLOOKUP($A40,PROBAST!$A$6:$AE$77,11,)="Low RoB","+",IF(HLOOKUP($A40,PROBAST!$A$6:$AE$77,11,)="High RoB","-",IF(HLOOKUP($A40,PROBAST!$A$6:$AE$77,11,)="Unclear","?",""))),"")</f>
        <v>+</v>
      </c>
      <c r="P40" s="137" t="str">
        <f>_xlfn.IFNA(IF(HLOOKUP($A40,PROBAST!$A$6:$AE$77,25,)="Low RoB","+",IF(HLOOKUP($A40,PROBAST!$A$6:$AE$77,25,)="High RoB","-",IF(HLOOKUP($A40,PROBAST!$A$6:$AE$77,25,)="Unclear","?",""))),"")</f>
        <v>+</v>
      </c>
      <c r="Q40" s="137" t="str">
        <f>_xlfn.IFNA(IF(HLOOKUP($A40,PROBAST!$A$6:$AE$77,39,)="Low RoB","+",IF(HLOOKUP($A40,PROBAST!$A$6:$AE$77,39,)="High RoB","-",IF(HLOOKUP($A40,PROBAST!$A$6:$AE$77,39,)="Unclear","?",""))),"")</f>
        <v>+</v>
      </c>
      <c r="R40" s="138" t="str">
        <f>_xlfn.IFNA(IF(HLOOKUP($A40,PROBAST!$A$6:$AE$77,58,)="Low RoB","+",IF(HLOOKUP($A40,PROBAST!$A$6:$AE$77,58,)="High RoB","-",IF(HLOOKUP($A40,PROBAST!$A$6:$AE$77,58,)="Unclear","?",""))),"")</f>
        <v>+</v>
      </c>
      <c r="S40" s="139"/>
      <c r="T40" s="139"/>
      <c r="U40" s="139"/>
      <c r="V40" s="139"/>
      <c r="W40" s="139"/>
    </row>
    <row r="41" spans="1:23" ht="22.5" customHeight="1" thickBot="1" x14ac:dyDescent="0.3">
      <c r="A41" s="395"/>
      <c r="B41" s="397"/>
      <c r="C41" s="390"/>
      <c r="D41" s="394"/>
      <c r="E41" s="390"/>
      <c r="F41" s="390"/>
      <c r="G41" s="390"/>
      <c r="H41" s="392"/>
      <c r="I41" s="390"/>
      <c r="J41" s="390"/>
      <c r="K41" s="399"/>
      <c r="L41" s="392"/>
      <c r="M41" s="392"/>
      <c r="N41" s="141" t="s">
        <v>29</v>
      </c>
      <c r="O41" s="142" t="str">
        <f>_xlfn.IFNA(IF(HLOOKUP($A40,PROBAST!$A$6:$AE$77,12,)="Low concern","+",IF(HLOOKUP($A40,PROBAST!$A$6:$AE$77,12,)="High concern","-",IF(HLOOKUP($A40,PROBAST!$A$6:$AE$77,12,)="Unclear","?",""))),"")</f>
        <v>-</v>
      </c>
      <c r="P41" s="142" t="str">
        <f>_xlfn.IFNA(IF(HLOOKUP($A40,PROBAST!$A$6:$AE$77,26,)="Low concern","+",IF(HLOOKUP($A40,PROBAST!$A$6:$AE$77,26,)="High concern","-",IF(HLOOKUP($A40,PROBAST!$A$6:$AE$77,26,)="Unclear","?",""))),"")</f>
        <v>+</v>
      </c>
      <c r="Q41" s="142" t="str">
        <f>_xlfn.IFNA(IF(HLOOKUP($A40,PROBAST!$A$6:$AE$77,40,)="Low concern","+",IF(HLOOKUP($A40,PROBAST!$A$6:$AE$77,40,)="High concern","-",IF(HLOOKUP($A40,PROBAST!$A$6:$AE$77,40,)="Unclear","?",""))),"")</f>
        <v>+</v>
      </c>
      <c r="R41" s="143"/>
    </row>
    <row r="42" spans="1:23" s="140" customFormat="1" ht="22.5" customHeight="1" x14ac:dyDescent="0.25">
      <c r="A42" s="395" t="str">
        <f>CHARMS!BH$6</f>
        <v>Jinman Zhong, 2021</v>
      </c>
      <c r="B42" s="396" t="str">
        <f>HLOOKUP($A42,CHARMS!$A$6:$CQ$89,1,)</f>
        <v>Jinman Zhong, 2021</v>
      </c>
      <c r="C42" s="389">
        <f>IF($A42="","",HLOOKUP($A42,CHARMS!$A$6:$CQ$89,48,))</f>
        <v>0</v>
      </c>
      <c r="D42" s="393" t="str">
        <f>IF($A42="","",IF(HLOOKUP($A42,CHARMS!$A$6:$CQ$89,40,)=0,"Unkown",HLOOKUP($A42,CHARMS!$A$6:$CQ$89,40,)))</f>
        <v>Unkown</v>
      </c>
      <c r="E42" s="389" t="str">
        <f>IF($A42="","",IF(HLOOKUP($A42,CHARMS!$A$6:$CQ$89,40,)=0,"Unkown",CONCATENATE(HLOOKUP($A42,CHARMS!$A$6:$CQ$89,41,)," (",FIXED((HLOOKUP($A42,CHARMS!$A$6:$CQ$89,41,)/HLOOKUP($A42,CHARMS!$A$6:$CQ$89,40,))*100,1),")")))</f>
        <v>Unkown</v>
      </c>
      <c r="F42" s="389" t="str">
        <f>IF($A42="","",IF(HLOOKUP($A42,CHARMS!$A$6:$CQ$89,33,)=0,"Unkown",HLOOKUP($A42,CHARMS!$A$6:$CQ$89,33,)))</f>
        <v>Unkown</v>
      </c>
      <c r="G42" s="389">
        <f>IF($A42="","",HLOOKUP($A42,CHARMS!$A$6:$CQ$89,79,))</f>
        <v>0</v>
      </c>
      <c r="H42" s="391" t="str">
        <f>IF($A42="","",HLOOKUP($A42,CHARMS!$A$6:$CQ$89,43,))</f>
        <v/>
      </c>
      <c r="I42" s="389">
        <f>IF($A42="","",HLOOKUP($A42,CHARMS!$A$6:$CQ$89,49,))</f>
        <v>0</v>
      </c>
      <c r="J42" s="389">
        <f>IF($A42="","",HLOOKUP($A42,CHARMS!$A$6:$CQ$89,50,))</f>
        <v>0</v>
      </c>
      <c r="K42" s="389" t="str">
        <f>CONCATENATE(IF($A42="","",IF(OR(HLOOKUP($A42,CHARMS!$A$6:$CQ$89,40,)=0,ISTEXT(HLOOKUP($A42,CHARMS!$A$6:$CQ$89,45,))),"n (%): Unkown",CONCATENATE("n (%): ",HLOOKUP($A42,CHARMS!$A$6:$CQ$89,45,)," (",FIXED((HLOOKUP($A42,CHARMS!$A$6:$CQ$89,45,)/HLOOKUP($A42,CHARMS!$A$6:$CQ$89,40,))*100,1),")"))),CHAR(10),IF($A42="","",CONCATENATE("Method: ",HLOOKUP($A42,CHARMS!$A$6:$CQ$89,46,))))</f>
        <v xml:space="preserve">n (%): Unkown
Method: </v>
      </c>
      <c r="L42" s="391" t="str">
        <f>IF($A42="","",CONCATENATE("Int: ",HLOOKUP($A42,CHARMS!$A$6:$CQ$89,75,),CHAR(10),"Ext : ",HLOOKUP($A42,CHARMS!$A$6:$CQ$89,76,)))</f>
        <v xml:space="preserve">Int: 
Ext : </v>
      </c>
      <c r="M42" s="391" t="str">
        <f>IF($A42="","",CONCATENATE("Cal: ",HLOOKUP($A42,CHARMS!$A$6:$CQ$89,53,),CHAR(10),"Disc : ",HLOOKUP($A42,CHARMS!$A$6:$CQ$89,59,),CHAR(10),"Ov: ",HLOOKUP($A42,CHARMS!$A$6:$CQ$89,66,)))</f>
        <v xml:space="preserve">Cal: 
Disc : 
Ov: </v>
      </c>
      <c r="N42" s="136" t="s">
        <v>30</v>
      </c>
      <c r="O42" s="137" t="str">
        <f>_xlfn.IFNA(IF(HLOOKUP($A42,PROBAST!$A$6:$AE$77,11,)="Low RoB","+",IF(HLOOKUP($A42,PROBAST!$A$6:$AE$77,11,)="High RoB","-",IF(HLOOKUP($A42,PROBAST!$A$6:$AE$77,11,)="Unclear","?",""))),"")</f>
        <v>-</v>
      </c>
      <c r="P42" s="137" t="str">
        <f>_xlfn.IFNA(IF(HLOOKUP($A42,PROBAST!$A$6:$AE$77,25,)="Low RoB","+",IF(HLOOKUP($A42,PROBAST!$A$6:$AE$77,25,)="High RoB","-",IF(HLOOKUP($A42,PROBAST!$A$6:$AE$77,25,)="Unclear","?",""))),"")</f>
        <v>+</v>
      </c>
      <c r="Q42" s="137" t="str">
        <f>_xlfn.IFNA(IF(HLOOKUP($A42,PROBAST!$A$6:$AE$77,39,)="Low RoB","+",IF(HLOOKUP($A42,PROBAST!$A$6:$AE$77,39,)="High RoB","-",IF(HLOOKUP($A42,PROBAST!$A$6:$AE$77,39,)="Unclear","?",""))),"")</f>
        <v>+</v>
      </c>
      <c r="R42" s="138" t="str">
        <f>_xlfn.IFNA(IF(HLOOKUP($A42,PROBAST!$A$6:$AE$77,58,)="Low RoB","+",IF(HLOOKUP($A42,PROBAST!$A$6:$AE$77,58,)="High RoB","-",IF(HLOOKUP($A42,PROBAST!$A$6:$AE$77,58,)="Unclear","?",""))),"")</f>
        <v>+</v>
      </c>
      <c r="S42" s="139"/>
      <c r="T42" s="139"/>
      <c r="U42" s="139"/>
      <c r="V42" s="139"/>
      <c r="W42" s="139"/>
    </row>
    <row r="43" spans="1:23" ht="22.5" customHeight="1" thickBot="1" x14ac:dyDescent="0.3">
      <c r="A43" s="395"/>
      <c r="B43" s="397"/>
      <c r="C43" s="390"/>
      <c r="D43" s="394"/>
      <c r="E43" s="390"/>
      <c r="F43" s="390"/>
      <c r="G43" s="390"/>
      <c r="H43" s="392"/>
      <c r="I43" s="390"/>
      <c r="J43" s="390"/>
      <c r="K43" s="399"/>
      <c r="L43" s="392"/>
      <c r="M43" s="392"/>
      <c r="N43" s="141" t="s">
        <v>29</v>
      </c>
      <c r="O43" s="142" t="str">
        <f>_xlfn.IFNA(IF(HLOOKUP($A42,PROBAST!$A$6:$AE$77,12,)="Low concern","+",IF(HLOOKUP($A42,PROBAST!$A$6:$AE$77,12,)="High concern","-",IF(HLOOKUP($A42,PROBAST!$A$6:$AE$77,12,)="Unclear","?",""))),"")</f>
        <v>+</v>
      </c>
      <c r="P43" s="142" t="str">
        <f>_xlfn.IFNA(IF(HLOOKUP($A42,PROBAST!$A$6:$AE$77,26,)="Low concern","+",IF(HLOOKUP($A42,PROBAST!$A$6:$AE$77,26,)="High concern","-",IF(HLOOKUP($A42,PROBAST!$A$6:$AE$77,26,)="Unclear","?",""))),"")</f>
        <v>+</v>
      </c>
      <c r="Q43" s="142" t="str">
        <f>_xlfn.IFNA(IF(HLOOKUP($A42,PROBAST!$A$6:$AE$77,40,)="Low concern","+",IF(HLOOKUP($A42,PROBAST!$A$6:$AE$77,40,)="High concern","-",IF(HLOOKUP($A42,PROBAST!$A$6:$AE$77,40,)="Unclear","?",""))),"")</f>
        <v>+</v>
      </c>
      <c r="R43" s="143"/>
    </row>
    <row r="44" spans="1:23" s="140" customFormat="1" ht="22.5" customHeight="1" x14ac:dyDescent="0.25">
      <c r="A44" s="395" t="str">
        <f>CHARMS!BK$6</f>
        <v>Xia Yang, 2021</v>
      </c>
      <c r="B44" s="396" t="str">
        <f>HLOOKUP($A44,CHARMS!$A$6:$CQ$89,1,)</f>
        <v>Xia Yang, 2021</v>
      </c>
      <c r="C44" s="389">
        <f>IF($A44="","",HLOOKUP($A44,CHARMS!$A$6:$CQ$89,48,))</f>
        <v>0</v>
      </c>
      <c r="D44" s="393" t="str">
        <f>IF($A44="","",IF(HLOOKUP($A44,CHARMS!$A$6:$CQ$89,40,)=0,"Unkown",HLOOKUP($A44,CHARMS!$A$6:$CQ$89,40,)))</f>
        <v>Unkown</v>
      </c>
      <c r="E44" s="389" t="str">
        <f>IF($A44="","",IF(HLOOKUP($A44,CHARMS!$A$6:$CQ$89,40,)=0,"Unkown",CONCATENATE(HLOOKUP($A44,CHARMS!$A$6:$CQ$89,41,)," (",FIXED((HLOOKUP($A44,CHARMS!$A$6:$CQ$89,41,)/HLOOKUP($A44,CHARMS!$A$6:$CQ$89,40,))*100,1),")")))</f>
        <v>Unkown</v>
      </c>
      <c r="F44" s="389" t="str">
        <f>IF($A44="","",IF(HLOOKUP($A44,CHARMS!$A$6:$CQ$89,33,)=0,"Unkown",HLOOKUP($A44,CHARMS!$A$6:$CQ$89,33,)))</f>
        <v>Unkown</v>
      </c>
      <c r="G44" s="389">
        <f>IF($A44="","",HLOOKUP($A44,CHARMS!$A$6:$CQ$89,79,))</f>
        <v>0</v>
      </c>
      <c r="H44" s="391" t="str">
        <f>IF($A44="","",HLOOKUP($A44,CHARMS!$A$6:$CQ$89,43,))</f>
        <v/>
      </c>
      <c r="I44" s="389">
        <f>IF($A44="","",HLOOKUP($A44,CHARMS!$A$6:$CQ$89,49,))</f>
        <v>0</v>
      </c>
      <c r="J44" s="389">
        <f>IF($A44="","",HLOOKUP($A44,CHARMS!$A$6:$CQ$89,50,))</f>
        <v>0</v>
      </c>
      <c r="K44" s="389" t="str">
        <f>CONCATENATE(IF($A44="","",IF(OR(HLOOKUP($A44,CHARMS!$A$6:$CQ$89,40,)=0,ISTEXT(HLOOKUP($A44,CHARMS!$A$6:$CQ$89,45,))),"n (%): Unkown",CONCATENATE("n (%): ",HLOOKUP($A44,CHARMS!$A$6:$CQ$89,45,)," (",FIXED((HLOOKUP($A44,CHARMS!$A$6:$CQ$89,45,)/HLOOKUP($A44,CHARMS!$A$6:$CQ$89,40,))*100,1),")"))),CHAR(10),IF($A44="","",CONCATENATE("Method: ",HLOOKUP($A44,CHARMS!$A$6:$CQ$89,46,))))</f>
        <v xml:space="preserve">n (%): Unkown
Method: </v>
      </c>
      <c r="L44" s="391" t="str">
        <f>IF($A44="","",CONCATENATE("Int: ",HLOOKUP($A44,CHARMS!$A$6:$CQ$89,75,),CHAR(10),"Ext : ",HLOOKUP($A44,CHARMS!$A$6:$CQ$89,76,)))</f>
        <v xml:space="preserve">Int: 
Ext : </v>
      </c>
      <c r="M44" s="391" t="str">
        <f>IF($A44="","",CONCATENATE("Cal: ",HLOOKUP($A44,CHARMS!$A$6:$CQ$89,53,),CHAR(10),"Disc : ",HLOOKUP($A44,CHARMS!$A$6:$CQ$89,59,),CHAR(10),"Ov: ",HLOOKUP($A44,CHARMS!$A$6:$CQ$89,66,)))</f>
        <v xml:space="preserve">Cal: 
Disc : 
Ov: </v>
      </c>
      <c r="N44" s="136" t="s">
        <v>30</v>
      </c>
      <c r="O44" s="137" t="str">
        <f>_xlfn.IFNA(IF(HLOOKUP($A44,PROBAST!$A$6:$AE$77,11,)="Low RoB","+",IF(HLOOKUP($A44,PROBAST!$A$6:$AE$77,11,)="High RoB","-",IF(HLOOKUP($A44,PROBAST!$A$6:$AE$77,11,)="Unclear","?",""))),"")</f>
        <v>+</v>
      </c>
      <c r="P44" s="137" t="str">
        <f>_xlfn.IFNA(IF(HLOOKUP($A44,PROBAST!$A$6:$AE$77,25,)="Low RoB","+",IF(HLOOKUP($A44,PROBAST!$A$6:$AE$77,25,)="High RoB","-",IF(HLOOKUP($A44,PROBAST!$A$6:$AE$77,25,)="Unclear","?",""))),"")</f>
        <v>-</v>
      </c>
      <c r="Q44" s="137" t="str">
        <f>_xlfn.IFNA(IF(HLOOKUP($A44,PROBAST!$A$6:$AE$77,39,)="Low RoB","+",IF(HLOOKUP($A44,PROBAST!$A$6:$AE$77,39,)="High RoB","-",IF(HLOOKUP($A44,PROBAST!$A$6:$AE$77,39,)="Unclear","?",""))),"")</f>
        <v>+</v>
      </c>
      <c r="R44" s="138" t="str">
        <f>_xlfn.IFNA(IF(HLOOKUP($A44,PROBAST!$A$6:$AE$77,58,)="Low RoB","+",IF(HLOOKUP($A44,PROBAST!$A$6:$AE$77,58,)="High RoB","-",IF(HLOOKUP($A44,PROBAST!$A$6:$AE$77,58,)="Unclear","?",""))),"")</f>
        <v>+</v>
      </c>
      <c r="S44" s="139"/>
      <c r="T44" s="139"/>
      <c r="U44" s="139"/>
      <c r="V44" s="139"/>
      <c r="W44" s="139"/>
    </row>
    <row r="45" spans="1:23" ht="22.5" customHeight="1" thickBot="1" x14ac:dyDescent="0.3">
      <c r="A45" s="395"/>
      <c r="B45" s="397"/>
      <c r="C45" s="390"/>
      <c r="D45" s="394"/>
      <c r="E45" s="390"/>
      <c r="F45" s="390"/>
      <c r="G45" s="390"/>
      <c r="H45" s="392"/>
      <c r="I45" s="390"/>
      <c r="J45" s="390"/>
      <c r="K45" s="399"/>
      <c r="L45" s="392"/>
      <c r="M45" s="392"/>
      <c r="N45" s="141" t="s">
        <v>29</v>
      </c>
      <c r="O45" s="142" t="str">
        <f>_xlfn.IFNA(IF(HLOOKUP($A44,PROBAST!$A$6:$AE$77,12,)="Low concern","+",IF(HLOOKUP($A44,PROBAST!$A$6:$AE$77,12,)="High concern","-",IF(HLOOKUP($A44,PROBAST!$A$6:$AE$77,12,)="Unclear","?",""))),"")</f>
        <v>+</v>
      </c>
      <c r="P45" s="142" t="str">
        <f>_xlfn.IFNA(IF(HLOOKUP($A44,PROBAST!$A$6:$AE$77,26,)="Low concern","+",IF(HLOOKUP($A44,PROBAST!$A$6:$AE$77,26,)="High concern","-",IF(HLOOKUP($A44,PROBAST!$A$6:$AE$77,26,)="Unclear","?",""))),"")</f>
        <v>+</v>
      </c>
      <c r="Q45" s="142" t="str">
        <f>_xlfn.IFNA(IF(HLOOKUP($A44,PROBAST!$A$6:$AE$77,40,)="Low concern","+",IF(HLOOKUP($A44,PROBAST!$A$6:$AE$77,40,)="High concern","-",IF(HLOOKUP($A44,PROBAST!$A$6:$AE$77,40,)="Unclear","?",""))),"")</f>
        <v>+</v>
      </c>
      <c r="R45" s="143"/>
    </row>
    <row r="46" spans="1:23" s="140" customFormat="1" ht="22.5" customHeight="1" x14ac:dyDescent="0.25">
      <c r="A46" s="395" t="str">
        <f>CHARMS!BN$6</f>
        <v>Zhi Liu (21) X7, 2021</v>
      </c>
      <c r="B46" s="396" t="str">
        <f>HLOOKUP($A46,CHARMS!$A$6:$CQ$89,1,)</f>
        <v>Zhi Liu (21) X7, 2021</v>
      </c>
      <c r="C46" s="389">
        <f>IF($A46="","",HLOOKUP($A46,CHARMS!$A$6:$CQ$89,48,))</f>
        <v>0</v>
      </c>
      <c r="D46" s="393" t="str">
        <f>IF($A46="","",IF(HLOOKUP($A46,CHARMS!$A$6:$CQ$89,40,)=0,"Unkown",HLOOKUP($A46,CHARMS!$A$6:$CQ$89,40,)))</f>
        <v>Unkown</v>
      </c>
      <c r="E46" s="389" t="str">
        <f>IF($A46="","",IF(HLOOKUP($A46,CHARMS!$A$6:$CQ$89,40,)=0,"Unkown",CONCATENATE(HLOOKUP($A46,CHARMS!$A$6:$CQ$89,41,)," (",FIXED((HLOOKUP($A46,CHARMS!$A$6:$CQ$89,41,)/HLOOKUP($A46,CHARMS!$A$6:$CQ$89,40,))*100,1),")")))</f>
        <v>Unkown</v>
      </c>
      <c r="F46" s="389" t="str">
        <f>IF($A46="","",IF(HLOOKUP($A46,CHARMS!$A$6:$CQ$89,33,)=0,"Unkown",HLOOKUP($A46,CHARMS!$A$6:$CQ$89,33,)))</f>
        <v>Unkown</v>
      </c>
      <c r="G46" s="389">
        <f>IF($A46="","",HLOOKUP($A46,CHARMS!$A$6:$CQ$89,79,))</f>
        <v>0</v>
      </c>
      <c r="H46" s="391" t="str">
        <f>IF($A46="","",HLOOKUP($A46,CHARMS!$A$6:$CQ$89,43,))</f>
        <v/>
      </c>
      <c r="I46" s="389">
        <f>IF($A46="","",HLOOKUP($A46,CHARMS!$A$6:$CQ$89,49,))</f>
        <v>0</v>
      </c>
      <c r="J46" s="389">
        <f>IF($A46="","",HLOOKUP($A46,CHARMS!$A$6:$CQ$89,50,))</f>
        <v>0</v>
      </c>
      <c r="K46" s="389" t="str">
        <f>CONCATENATE(IF($A46="","",IF(OR(HLOOKUP($A46,CHARMS!$A$6:$CQ$89,40,)=0,ISTEXT(HLOOKUP($A46,CHARMS!$A$6:$CQ$89,45,))),"n (%): Unkown",CONCATENATE("n (%): ",HLOOKUP($A46,CHARMS!$A$6:$CQ$89,45,)," (",FIXED((HLOOKUP($A46,CHARMS!$A$6:$CQ$89,45,)/HLOOKUP($A46,CHARMS!$A$6:$CQ$89,40,))*100,1),")"))),CHAR(10),IF($A46="","",CONCATENATE("Method: ",HLOOKUP($A46,CHARMS!$A$6:$CQ$89,46,))))</f>
        <v xml:space="preserve">n (%): Unkown
Method: </v>
      </c>
      <c r="L46" s="391" t="str">
        <f>IF($A46="","",CONCATENATE("Int: ",HLOOKUP($A46,CHARMS!$A$6:$CQ$89,75,),CHAR(10),"Ext : ",HLOOKUP($A46,CHARMS!$A$6:$CQ$89,76,)))</f>
        <v xml:space="preserve">Int: 
Ext : </v>
      </c>
      <c r="M46" s="391" t="str">
        <f>IF($A46="","",CONCATENATE("Cal: ",HLOOKUP($A46,CHARMS!$A$6:$CQ$89,53,),CHAR(10),"Disc : ",HLOOKUP($A46,CHARMS!$A$6:$CQ$89,59,),CHAR(10),"Ov: ",HLOOKUP($A46,CHARMS!$A$6:$CQ$89,66,)))</f>
        <v xml:space="preserve">Cal: 
Disc : 
Ov: </v>
      </c>
      <c r="N46" s="136" t="s">
        <v>30</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95"/>
      <c r="B47" s="397"/>
      <c r="C47" s="390"/>
      <c r="D47" s="394"/>
      <c r="E47" s="390"/>
      <c r="F47" s="390"/>
      <c r="G47" s="390"/>
      <c r="H47" s="392"/>
      <c r="I47" s="390"/>
      <c r="J47" s="390"/>
      <c r="K47" s="399"/>
      <c r="L47" s="392"/>
      <c r="M47" s="392"/>
      <c r="N47" s="141" t="s">
        <v>29</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95" t="str">
        <f>CHARMS!BQ$6</f>
        <v/>
      </c>
      <c r="B48" s="396" t="str">
        <f>HLOOKUP($A48,CHARMS!$A$6:$CQ$89,1,)</f>
        <v/>
      </c>
      <c r="C48" s="389" t="str">
        <f>IF($A48="","",HLOOKUP($A48,CHARMS!$A$6:$CQ$89,48,))</f>
        <v/>
      </c>
      <c r="D48" s="393" t="str">
        <f>IF($A48="","",IF(HLOOKUP($A48,CHARMS!$A$6:$CQ$89,40,)=0,"Unkown",HLOOKUP($A48,CHARMS!$A$6:$CQ$89,40,)))</f>
        <v/>
      </c>
      <c r="E48" s="389" t="str">
        <f>IF($A48="","",IF(HLOOKUP($A48,CHARMS!$A$6:$CQ$89,40,)=0,"Unkown",CONCATENATE(HLOOKUP($A48,CHARMS!$A$6:$CQ$89,41,)," (",FIXED((HLOOKUP($A48,CHARMS!$A$6:$CQ$89,41,)/HLOOKUP($A48,CHARMS!$A$6:$CQ$89,40,))*100,1),")")))</f>
        <v/>
      </c>
      <c r="F48" s="389" t="str">
        <f>IF($A48="","",IF(HLOOKUP($A48,CHARMS!$A$6:$CQ$89,33,)=0,"Unkown",HLOOKUP($A48,CHARMS!$A$6:$CQ$89,33,)))</f>
        <v/>
      </c>
      <c r="G48" s="389" t="str">
        <f>IF($A48="","",HLOOKUP($A48,CHARMS!$A$6:$CQ$89,79,))</f>
        <v/>
      </c>
      <c r="H48" s="391" t="str">
        <f>IF($A48="","",HLOOKUP($A48,CHARMS!$A$6:$CQ$89,43,))</f>
        <v/>
      </c>
      <c r="I48" s="389" t="str">
        <f>IF($A48="","",HLOOKUP($A48,CHARMS!$A$6:$CQ$89,49,))</f>
        <v/>
      </c>
      <c r="J48" s="389" t="str">
        <f>IF($A48="","",HLOOKUP($A48,CHARMS!$A$6:$CQ$89,50,))</f>
        <v/>
      </c>
      <c r="K48" s="389" t="str">
        <f>CONCATENATE(IF($A48="","",IF(OR(HLOOKUP($A48,CHARMS!$A$6:$CQ$89,40,)=0,ISTEXT(HLOOKUP($A48,CHARMS!$A$6:$CQ$89,45,))),"n (%): Unkown",CONCATENATE("n (%): ",HLOOKUP($A48,CHARMS!$A$6:$CQ$89,45,)," (",FIXED((HLOOKUP($A48,CHARMS!$A$6:$CQ$89,45,)/HLOOKUP($A48,CHARMS!$A$6:$CQ$89,40,))*100,1),")"))),CHAR(10),IF($A48="","",CONCATENATE("Method: ",HLOOKUP($A48,CHARMS!$A$6:$CQ$89,46,))))</f>
        <v xml:space="preserve">
</v>
      </c>
      <c r="L48" s="391" t="str">
        <f>IF($A48="","",CONCATENATE("Int: ",HLOOKUP($A48,CHARMS!$A$6:$CQ$89,75,),CHAR(10),"Ext : ",HLOOKUP($A48,CHARMS!$A$6:$CQ$89,76,)))</f>
        <v/>
      </c>
      <c r="M48" s="391" t="str">
        <f>IF($A48="","",CONCATENATE("Cal: ",HLOOKUP($A48,CHARMS!$A$6:$CQ$89,53,),CHAR(10),"Disc : ",HLOOKUP($A48,CHARMS!$A$6:$CQ$89,59,),CHAR(10),"Ov: ",HLOOKUP($A48,CHARMS!$A$6:$CQ$89,66,)))</f>
        <v/>
      </c>
      <c r="N48" s="136" t="s">
        <v>30</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95"/>
      <c r="B49" s="397"/>
      <c r="C49" s="390"/>
      <c r="D49" s="394"/>
      <c r="E49" s="390"/>
      <c r="F49" s="390"/>
      <c r="G49" s="390"/>
      <c r="H49" s="392"/>
      <c r="I49" s="390"/>
      <c r="J49" s="390"/>
      <c r="K49" s="399"/>
      <c r="L49" s="392"/>
      <c r="M49" s="392"/>
      <c r="N49" s="141" t="s">
        <v>29</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95" t="str">
        <f>CHARMS!BT$6</f>
        <v/>
      </c>
      <c r="B50" s="396" t="str">
        <f>HLOOKUP($A50,CHARMS!$A$6:$CQ$89,1,)</f>
        <v/>
      </c>
      <c r="C50" s="389" t="str">
        <f>IF($A50="","",HLOOKUP($A50,CHARMS!$A$6:$CQ$89,48,))</f>
        <v/>
      </c>
      <c r="D50" s="393" t="str">
        <f>IF($A50="","",IF(HLOOKUP($A50,CHARMS!$A$6:$CQ$89,40,)=0,"Unkown",HLOOKUP($A50,CHARMS!$A$6:$CQ$89,40,)))</f>
        <v/>
      </c>
      <c r="E50" s="389" t="str">
        <f>IF($A50="","",IF(HLOOKUP($A50,CHARMS!$A$6:$CQ$89,40,)=0,"Unkown",CONCATENATE(HLOOKUP($A50,CHARMS!$A$6:$CQ$89,41,)," (",FIXED((HLOOKUP($A50,CHARMS!$A$6:$CQ$89,41,)/HLOOKUP($A50,CHARMS!$A$6:$CQ$89,40,))*100,1),")")))</f>
        <v/>
      </c>
      <c r="F50" s="389" t="str">
        <f>IF($A50="","",IF(HLOOKUP($A50,CHARMS!$A$6:$CQ$89,33,)=0,"Unkown",HLOOKUP($A50,CHARMS!$A$6:$CQ$89,33,)))</f>
        <v/>
      </c>
      <c r="G50" s="389" t="str">
        <f>IF($A50="","",HLOOKUP($A50,CHARMS!$A$6:$CQ$89,79,))</f>
        <v/>
      </c>
      <c r="H50" s="391" t="str">
        <f>IF($A50="","",HLOOKUP($A50,CHARMS!$A$6:$CQ$89,43,))</f>
        <v/>
      </c>
      <c r="I50" s="389" t="str">
        <f>IF($A50="","",HLOOKUP($A50,CHARMS!$A$6:$CQ$89,49,))</f>
        <v/>
      </c>
      <c r="J50" s="389" t="str">
        <f>IF($A50="","",HLOOKUP($A50,CHARMS!$A$6:$CQ$89,50,))</f>
        <v/>
      </c>
      <c r="K50" s="389" t="str">
        <f>CONCATENATE(IF($A50="","",IF(OR(HLOOKUP($A50,CHARMS!$A$6:$CQ$89,40,)=0,ISTEXT(HLOOKUP($A50,CHARMS!$A$6:$CQ$89,45,))),"n (%): Unkown",CONCATENATE("n (%): ",HLOOKUP($A50,CHARMS!$A$6:$CQ$89,45,)," (",FIXED((HLOOKUP($A50,CHARMS!$A$6:$CQ$89,45,)/HLOOKUP($A50,CHARMS!$A$6:$CQ$89,40,))*100,1),")"))),CHAR(10),IF($A50="","",CONCATENATE("Method: ",HLOOKUP($A50,CHARMS!$A$6:$CQ$89,46,))))</f>
        <v xml:space="preserve">
</v>
      </c>
      <c r="L50" s="391" t="str">
        <f>IF($A50="","",CONCATENATE("Int: ",HLOOKUP($A50,CHARMS!$A$6:$CQ$89,75,),CHAR(10),"Ext : ",HLOOKUP($A50,CHARMS!$A$6:$CQ$89,76,)))</f>
        <v/>
      </c>
      <c r="M50" s="391" t="str">
        <f>IF($A50="","",CONCATENATE("Cal: ",HLOOKUP($A50,CHARMS!$A$6:$CQ$89,53,),CHAR(10),"Disc : ",HLOOKUP($A50,CHARMS!$A$6:$CQ$89,59,),CHAR(10),"Ov: ",HLOOKUP($A50,CHARMS!$A$6:$CQ$89,66,)))</f>
        <v/>
      </c>
      <c r="N50" s="136" t="s">
        <v>30</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95"/>
      <c r="B51" s="397"/>
      <c r="C51" s="390"/>
      <c r="D51" s="394"/>
      <c r="E51" s="390"/>
      <c r="F51" s="390"/>
      <c r="G51" s="390"/>
      <c r="H51" s="392"/>
      <c r="I51" s="390"/>
      <c r="J51" s="390"/>
      <c r="K51" s="399"/>
      <c r="L51" s="392"/>
      <c r="M51" s="392"/>
      <c r="N51" s="141" t="s">
        <v>29</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95" t="str">
        <f>CHARMS!BW$6</f>
        <v/>
      </c>
      <c r="B52" s="396" t="str">
        <f>HLOOKUP($A52,CHARMS!$A$6:$CQ$89,1,)</f>
        <v/>
      </c>
      <c r="C52" s="389" t="str">
        <f>IF($A52="","",HLOOKUP($A52,CHARMS!$A$6:$CQ$89,48,))</f>
        <v/>
      </c>
      <c r="D52" s="393" t="str">
        <f>IF($A52="","",IF(HLOOKUP($A52,CHARMS!$A$6:$CQ$89,40,)=0,"Unkown",HLOOKUP($A52,CHARMS!$A$6:$CQ$89,40,)))</f>
        <v/>
      </c>
      <c r="E52" s="389" t="str">
        <f>IF($A52="","",IF(HLOOKUP($A52,CHARMS!$A$6:$CQ$89,40,)=0,"Unkown",CONCATENATE(HLOOKUP($A52,CHARMS!$A$6:$CQ$89,41,)," (",FIXED((HLOOKUP($A52,CHARMS!$A$6:$CQ$89,41,)/HLOOKUP($A52,CHARMS!$A$6:$CQ$89,40,))*100,1),")")))</f>
        <v/>
      </c>
      <c r="F52" s="389" t="str">
        <f>IF($A52="","",IF(HLOOKUP($A52,CHARMS!$A$6:$CQ$89,33,)=0,"Unkown",HLOOKUP($A52,CHARMS!$A$6:$CQ$89,33,)))</f>
        <v/>
      </c>
      <c r="G52" s="389" t="str">
        <f>IF($A52="","",HLOOKUP($A52,CHARMS!$A$6:$CQ$89,79,))</f>
        <v/>
      </c>
      <c r="H52" s="391" t="str">
        <f>IF($A52="","",HLOOKUP($A52,CHARMS!$A$6:$CQ$89,43,))</f>
        <v/>
      </c>
      <c r="I52" s="389" t="str">
        <f>IF($A52="","",HLOOKUP($A52,CHARMS!$A$6:$CQ$89,49,))</f>
        <v/>
      </c>
      <c r="J52" s="389" t="str">
        <f>IF($A52="","",HLOOKUP($A52,CHARMS!$A$6:$CQ$89,50,))</f>
        <v/>
      </c>
      <c r="K52" s="389" t="str">
        <f>CONCATENATE(IF($A52="","",IF(OR(HLOOKUP($A52,CHARMS!$A$6:$CQ$89,40,)=0,ISTEXT(HLOOKUP($A52,CHARMS!$A$6:$CQ$89,45,))),"n (%): Unkown",CONCATENATE("n (%): ",HLOOKUP($A52,CHARMS!$A$6:$CQ$89,45,)," (",FIXED((HLOOKUP($A52,CHARMS!$A$6:$CQ$89,45,)/HLOOKUP($A52,CHARMS!$A$6:$CQ$89,40,))*100,1),")"))),CHAR(10),IF($A52="","",CONCATENATE("Method: ",HLOOKUP($A52,CHARMS!$A$6:$CQ$89,46,))))</f>
        <v xml:space="preserve">
</v>
      </c>
      <c r="L52" s="391" t="str">
        <f>IF($A52="","",CONCATENATE("Int: ",HLOOKUP($A52,CHARMS!$A$6:$CQ$89,75,),CHAR(10),"Ext : ",HLOOKUP($A52,CHARMS!$A$6:$CQ$89,76,)))</f>
        <v/>
      </c>
      <c r="M52" s="391" t="str">
        <f>IF($A52="","",CONCATENATE("Cal: ",HLOOKUP($A52,CHARMS!$A$6:$CQ$89,53,),CHAR(10),"Disc : ",HLOOKUP($A52,CHARMS!$A$6:$CQ$89,59,),CHAR(10),"Ov: ",HLOOKUP($A52,CHARMS!$A$6:$CQ$89,66,)))</f>
        <v/>
      </c>
      <c r="N52" s="136" t="s">
        <v>30</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95"/>
      <c r="B53" s="397"/>
      <c r="C53" s="390"/>
      <c r="D53" s="394"/>
      <c r="E53" s="390"/>
      <c r="F53" s="390"/>
      <c r="G53" s="390"/>
      <c r="H53" s="392"/>
      <c r="I53" s="390"/>
      <c r="J53" s="390"/>
      <c r="K53" s="399"/>
      <c r="L53" s="392"/>
      <c r="M53" s="392"/>
      <c r="N53" s="141" t="s">
        <v>29</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95" t="str">
        <f>CHARMS!BZ$6</f>
        <v/>
      </c>
      <c r="B54" s="396" t="str">
        <f>HLOOKUP($A54,CHARMS!$A$6:$CQ$89,1,)</f>
        <v/>
      </c>
      <c r="C54" s="389" t="str">
        <f>IF($A54="","",HLOOKUP($A54,CHARMS!$A$6:$CQ$89,48,))</f>
        <v/>
      </c>
      <c r="D54" s="393" t="str">
        <f>IF($A54="","",IF(HLOOKUP($A54,CHARMS!$A$6:$CQ$89,40,)=0,"Unkown",HLOOKUP($A54,CHARMS!$A$6:$CQ$89,40,)))</f>
        <v/>
      </c>
      <c r="E54" s="389" t="str">
        <f>IF($A54="","",IF(HLOOKUP($A54,CHARMS!$A$6:$CQ$89,40,)=0,"Unkown",CONCATENATE(HLOOKUP($A54,CHARMS!$A$6:$CQ$89,41,)," (",FIXED((HLOOKUP($A54,CHARMS!$A$6:$CQ$89,41,)/HLOOKUP($A54,CHARMS!$A$6:$CQ$89,40,))*100,1),")")))</f>
        <v/>
      </c>
      <c r="F54" s="389" t="str">
        <f>IF($A54="","",IF(HLOOKUP($A54,CHARMS!$A$6:$CQ$89,33,)=0,"Unkown",HLOOKUP($A54,CHARMS!$A$6:$CQ$89,33,)))</f>
        <v/>
      </c>
      <c r="G54" s="389" t="str">
        <f>IF($A54="","",HLOOKUP($A54,CHARMS!$A$6:$CQ$89,79,))</f>
        <v/>
      </c>
      <c r="H54" s="391" t="str">
        <f>IF($A54="","",HLOOKUP($A54,CHARMS!$A$6:$CQ$89,43,))</f>
        <v/>
      </c>
      <c r="I54" s="389" t="str">
        <f>IF($A54="","",HLOOKUP($A54,CHARMS!$A$6:$CQ$89,49,))</f>
        <v/>
      </c>
      <c r="J54" s="389" t="str">
        <f>IF($A54="","",HLOOKUP($A54,CHARMS!$A$6:$CQ$89,50,))</f>
        <v/>
      </c>
      <c r="K54" s="389" t="str">
        <f>CONCATENATE(IF($A54="","",IF(OR(HLOOKUP($A54,CHARMS!$A$6:$CQ$89,40,)=0,ISTEXT(HLOOKUP($A54,CHARMS!$A$6:$CQ$89,45,))),"n (%): Unkown",CONCATENATE("n (%): ",HLOOKUP($A54,CHARMS!$A$6:$CQ$89,45,)," (",FIXED((HLOOKUP($A54,CHARMS!$A$6:$CQ$89,45,)/HLOOKUP($A54,CHARMS!$A$6:$CQ$89,40,))*100,1),")"))),CHAR(10),IF($A54="","",CONCATENATE("Method: ",HLOOKUP($A54,CHARMS!$A$6:$CQ$89,46,))))</f>
        <v xml:space="preserve">
</v>
      </c>
      <c r="L54" s="391" t="str">
        <f>IF($A54="","",CONCATENATE("Int: ",HLOOKUP($A54,CHARMS!$A$6:$CQ$89,75,),CHAR(10),"Ext : ",HLOOKUP($A54,CHARMS!$A$6:$CQ$89,76,)))</f>
        <v/>
      </c>
      <c r="M54" s="391" t="str">
        <f>IF($A54="","",CONCATENATE("Cal: ",HLOOKUP($A54,CHARMS!$A$6:$CQ$89,53,),CHAR(10),"Disc : ",HLOOKUP($A54,CHARMS!$A$6:$CQ$89,59,),CHAR(10),"Ov: ",HLOOKUP($A54,CHARMS!$A$6:$CQ$89,66,)))</f>
        <v/>
      </c>
      <c r="N54" s="136" t="s">
        <v>30</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95"/>
      <c r="B55" s="397"/>
      <c r="C55" s="390"/>
      <c r="D55" s="394"/>
      <c r="E55" s="390"/>
      <c r="F55" s="390"/>
      <c r="G55" s="390"/>
      <c r="H55" s="392"/>
      <c r="I55" s="390"/>
      <c r="J55" s="390"/>
      <c r="K55" s="399"/>
      <c r="L55" s="392"/>
      <c r="M55" s="392"/>
      <c r="N55" s="141" t="s">
        <v>29</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95" t="str">
        <f>CHARMS!CC$6</f>
        <v/>
      </c>
      <c r="B56" s="396" t="str">
        <f>HLOOKUP($A56,CHARMS!$A$6:$CQ$89,1,)</f>
        <v/>
      </c>
      <c r="C56" s="389" t="str">
        <f>IF($A56="","",HLOOKUP($A56,CHARMS!$A$6:$CQ$89,48,))</f>
        <v/>
      </c>
      <c r="D56" s="393" t="str">
        <f>IF($A56="","",IF(HLOOKUP($A56,CHARMS!$A$6:$CQ$89,40,)=0,"Unkown",HLOOKUP($A56,CHARMS!$A$6:$CQ$89,40,)))</f>
        <v/>
      </c>
      <c r="E56" s="389" t="str">
        <f>IF($A56="","",IF(HLOOKUP($A56,CHARMS!$A$6:$CQ$89,40,)=0,"Unkown",CONCATENATE(HLOOKUP($A56,CHARMS!$A$6:$CQ$89,41,)," (",FIXED((HLOOKUP($A56,CHARMS!$A$6:$CQ$89,41,)/HLOOKUP($A56,CHARMS!$A$6:$CQ$89,40,))*100,1),")")))</f>
        <v/>
      </c>
      <c r="F56" s="389" t="str">
        <f>IF($A56="","",IF(HLOOKUP($A56,CHARMS!$A$6:$CQ$89,33,)=0,"Unkown",HLOOKUP($A56,CHARMS!$A$6:$CQ$89,33,)))</f>
        <v/>
      </c>
      <c r="G56" s="389" t="str">
        <f>IF($A56="","",HLOOKUP($A56,CHARMS!$A$6:$CQ$89,79,))</f>
        <v/>
      </c>
      <c r="H56" s="391" t="str">
        <f>IF($A56="","",HLOOKUP($A56,CHARMS!$A$6:$CQ$89,43,))</f>
        <v/>
      </c>
      <c r="I56" s="389" t="str">
        <f>IF($A56="","",HLOOKUP($A56,CHARMS!$A$6:$CQ$89,49,))</f>
        <v/>
      </c>
      <c r="J56" s="389" t="str">
        <f>IF($A56="","",HLOOKUP($A56,CHARMS!$A$6:$CQ$89,50,))</f>
        <v/>
      </c>
      <c r="K56" s="389" t="str">
        <f>CONCATENATE(IF($A56="","",IF(OR(HLOOKUP($A56,CHARMS!$A$6:$CQ$89,40,)=0,ISTEXT(HLOOKUP($A56,CHARMS!$A$6:$CQ$89,45,))),"n (%): Unkown",CONCATENATE("n (%): ",HLOOKUP($A56,CHARMS!$A$6:$CQ$89,45,)," (",FIXED((HLOOKUP($A56,CHARMS!$A$6:$CQ$89,45,)/HLOOKUP($A56,CHARMS!$A$6:$CQ$89,40,))*100,1),")"))),CHAR(10),IF($A56="","",CONCATENATE("Method: ",HLOOKUP($A56,CHARMS!$A$6:$CQ$89,46,))))</f>
        <v xml:space="preserve">
</v>
      </c>
      <c r="L56" s="391" t="str">
        <f>IF($A56="","",CONCATENATE("Int: ",HLOOKUP($A56,CHARMS!$A$6:$CQ$89,75,),CHAR(10),"Ext : ",HLOOKUP($A56,CHARMS!$A$6:$CQ$89,76,)))</f>
        <v/>
      </c>
      <c r="M56" s="391" t="str">
        <f>IF($A56="","",CONCATENATE("Cal: ",HLOOKUP($A56,CHARMS!$A$6:$CQ$89,53,),CHAR(10),"Disc : ",HLOOKUP($A56,CHARMS!$A$6:$CQ$89,59,),CHAR(10),"Ov: ",HLOOKUP($A56,CHARMS!$A$6:$CQ$89,66,)))</f>
        <v/>
      </c>
      <c r="N56" s="136" t="s">
        <v>30</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95"/>
      <c r="B57" s="397"/>
      <c r="C57" s="390"/>
      <c r="D57" s="394"/>
      <c r="E57" s="390"/>
      <c r="F57" s="390"/>
      <c r="G57" s="390"/>
      <c r="H57" s="392"/>
      <c r="I57" s="390"/>
      <c r="J57" s="390"/>
      <c r="K57" s="399"/>
      <c r="L57" s="392"/>
      <c r="M57" s="392"/>
      <c r="N57" s="141" t="s">
        <v>29</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95" t="str">
        <f>CHARMS!CF$6</f>
        <v/>
      </c>
      <c r="B58" s="396" t="str">
        <f>HLOOKUP($A58,CHARMS!$A$6:$CQ$89,1,)</f>
        <v/>
      </c>
      <c r="C58" s="389" t="str">
        <f>IF($A58="","",HLOOKUP($A58,CHARMS!$A$6:$CQ$89,48,))</f>
        <v/>
      </c>
      <c r="D58" s="393" t="str">
        <f>IF($A58="","",IF(HLOOKUP($A58,CHARMS!$A$6:$CQ$89,40,)=0,"Unkown",HLOOKUP($A58,CHARMS!$A$6:$CQ$89,40,)))</f>
        <v/>
      </c>
      <c r="E58" s="389" t="str">
        <f>IF($A58="","",IF(HLOOKUP($A58,CHARMS!$A$6:$CQ$89,40,)=0,"Unkown",CONCATENATE(HLOOKUP($A58,CHARMS!$A$6:$CQ$89,41,)," (",FIXED((HLOOKUP($A58,CHARMS!$A$6:$CQ$89,41,)/HLOOKUP($A58,CHARMS!$A$6:$CQ$89,40,))*100,1),")")))</f>
        <v/>
      </c>
      <c r="F58" s="389" t="str">
        <f>IF($A58="","",IF(HLOOKUP($A58,CHARMS!$A$6:$CQ$89,33,)=0,"Unkown",HLOOKUP($A58,CHARMS!$A$6:$CQ$89,33,)))</f>
        <v/>
      </c>
      <c r="G58" s="389" t="str">
        <f>IF($A58="","",HLOOKUP($A58,CHARMS!$A$6:$CQ$89,79,))</f>
        <v/>
      </c>
      <c r="H58" s="391" t="str">
        <f>IF($A58="","",HLOOKUP($A58,CHARMS!$A$6:$CQ$89,43,))</f>
        <v/>
      </c>
      <c r="I58" s="389" t="str">
        <f>IF($A58="","",HLOOKUP($A58,CHARMS!$A$6:$CQ$89,49,))</f>
        <v/>
      </c>
      <c r="J58" s="389" t="str">
        <f>IF($A58="","",HLOOKUP($A58,CHARMS!$A$6:$CQ$89,50,))</f>
        <v/>
      </c>
      <c r="K58" s="389" t="str">
        <f>CONCATENATE(IF($A58="","",IF(OR(HLOOKUP($A58,CHARMS!$A$6:$CQ$89,40,)=0,ISTEXT(HLOOKUP($A58,CHARMS!$A$6:$CQ$89,45,))),"n (%): Unkown",CONCATENATE("n (%): ",HLOOKUP($A58,CHARMS!$A$6:$CQ$89,45,)," (",FIXED((HLOOKUP($A58,CHARMS!$A$6:$CQ$89,45,)/HLOOKUP($A58,CHARMS!$A$6:$CQ$89,40,))*100,1),")"))),CHAR(10),IF($A58="","",CONCATENATE("Method: ",HLOOKUP($A58,CHARMS!$A$6:$CQ$89,46,))))</f>
        <v xml:space="preserve">
</v>
      </c>
      <c r="L58" s="391" t="str">
        <f>IF($A58="","",CONCATENATE("Int: ",HLOOKUP($A58,CHARMS!$A$6:$CQ$89,75,),CHAR(10),"Ext : ",HLOOKUP($A58,CHARMS!$A$6:$CQ$89,76,)))</f>
        <v/>
      </c>
      <c r="M58" s="391" t="str">
        <f>IF($A58="","",CONCATENATE("Cal: ",HLOOKUP($A58,CHARMS!$A$6:$CQ$89,53,),CHAR(10),"Disc : ",HLOOKUP($A58,CHARMS!$A$6:$CQ$89,59,),CHAR(10),"Ov: ",HLOOKUP($A58,CHARMS!$A$6:$CQ$89,66,)))</f>
        <v/>
      </c>
      <c r="N58" s="136" t="s">
        <v>30</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95"/>
      <c r="B59" s="397"/>
      <c r="C59" s="390"/>
      <c r="D59" s="394"/>
      <c r="E59" s="390"/>
      <c r="F59" s="390"/>
      <c r="G59" s="390"/>
      <c r="H59" s="392"/>
      <c r="I59" s="390"/>
      <c r="J59" s="390"/>
      <c r="K59" s="399"/>
      <c r="L59" s="392"/>
      <c r="M59" s="392"/>
      <c r="N59" s="141" t="s">
        <v>29</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95" t="str">
        <f>CHARMS!CI$6</f>
        <v/>
      </c>
      <c r="B60" s="396" t="str">
        <f>HLOOKUP($A60,CHARMS!$A$6:$CQ$89,1,)</f>
        <v/>
      </c>
      <c r="C60" s="389" t="str">
        <f>IF($A60="","",HLOOKUP($A60,CHARMS!$A$6:$CQ$89,48,))</f>
        <v/>
      </c>
      <c r="D60" s="393" t="str">
        <f>IF($A60="","",IF(HLOOKUP($A60,CHARMS!$A$6:$CQ$89,40,)=0,"Unkown",HLOOKUP($A60,CHARMS!$A$6:$CQ$89,40,)))</f>
        <v/>
      </c>
      <c r="E60" s="389" t="str">
        <f>IF($A60="","",IF(HLOOKUP($A60,CHARMS!$A$6:$CQ$89,40,)=0,"Unkown",CONCATENATE(HLOOKUP($A60,CHARMS!$A$6:$CQ$89,41,)," (",FIXED((HLOOKUP($A60,CHARMS!$A$6:$CQ$89,41,)/HLOOKUP($A60,CHARMS!$A$6:$CQ$89,40,))*100,1),")")))</f>
        <v/>
      </c>
      <c r="F60" s="389" t="str">
        <f>IF($A60="","",IF(HLOOKUP($A60,CHARMS!$A$6:$CQ$89,33,)=0,"Unkown",HLOOKUP($A60,CHARMS!$A$6:$CQ$89,33,)))</f>
        <v/>
      </c>
      <c r="G60" s="389" t="str">
        <f>IF($A60="","",HLOOKUP($A60,CHARMS!$A$6:$CQ$89,79,))</f>
        <v/>
      </c>
      <c r="H60" s="391" t="str">
        <f>IF($A60="","",HLOOKUP($A60,CHARMS!$A$6:$CQ$89,43,))</f>
        <v/>
      </c>
      <c r="I60" s="389" t="str">
        <f>IF($A60="","",HLOOKUP($A60,CHARMS!$A$6:$CQ$89,49,))</f>
        <v/>
      </c>
      <c r="J60" s="389" t="str">
        <f>IF($A60="","",HLOOKUP($A60,CHARMS!$A$6:$CQ$89,50,))</f>
        <v/>
      </c>
      <c r="K60" s="389" t="str">
        <f>CONCATENATE(IF($A60="","",IF(OR(HLOOKUP($A60,CHARMS!$A$6:$CQ$89,40,)=0,ISTEXT(HLOOKUP($A60,CHARMS!$A$6:$CQ$89,45,))),"n (%): Unkown",CONCATENATE("n (%): ",HLOOKUP($A60,CHARMS!$A$6:$CQ$89,45,)," (",FIXED((HLOOKUP($A60,CHARMS!$A$6:$CQ$89,45,)/HLOOKUP($A60,CHARMS!$A$6:$CQ$89,40,))*100,1),")"))),CHAR(10),IF($A60="","",CONCATENATE("Method: ",HLOOKUP($A60,CHARMS!$A$6:$CQ$89,46,))))</f>
        <v xml:space="preserve">
</v>
      </c>
      <c r="L60" s="391" t="str">
        <f>IF($A60="","",CONCATENATE("Int: ",HLOOKUP($A60,CHARMS!$A$6:$CQ$89,75,),CHAR(10),"Ext : ",HLOOKUP($A60,CHARMS!$A$6:$CQ$89,76,)))</f>
        <v/>
      </c>
      <c r="M60" s="391" t="str">
        <f>IF($A60="","",CONCATENATE("Cal: ",HLOOKUP($A60,CHARMS!$A$6:$CQ$89,53,),CHAR(10),"Disc : ",HLOOKUP($A60,CHARMS!$A$6:$CQ$89,59,),CHAR(10),"Ov: ",HLOOKUP($A60,CHARMS!$A$6:$CQ$89,66,)))</f>
        <v/>
      </c>
      <c r="N60" s="136" t="s">
        <v>30</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95"/>
      <c r="B61" s="397"/>
      <c r="C61" s="390"/>
      <c r="D61" s="394"/>
      <c r="E61" s="390"/>
      <c r="F61" s="390"/>
      <c r="G61" s="390"/>
      <c r="H61" s="392"/>
      <c r="I61" s="390"/>
      <c r="J61" s="390"/>
      <c r="K61" s="399"/>
      <c r="L61" s="392"/>
      <c r="M61" s="392"/>
      <c r="N61" s="141" t="s">
        <v>29</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95" t="str">
        <f>CHARMS!CL$6</f>
        <v/>
      </c>
      <c r="B62" s="396" t="str">
        <f>HLOOKUP($A62,CHARMS!$A$6:$CQ$89,1,)</f>
        <v/>
      </c>
      <c r="C62" s="389" t="str">
        <f>IF($A62="","",HLOOKUP($A62,CHARMS!$A$6:$CQ$89,48,))</f>
        <v/>
      </c>
      <c r="D62" s="393" t="str">
        <f>IF($A62="","",IF(HLOOKUP($A62,CHARMS!$A$6:$CQ$89,40,)=0,"Unkown",HLOOKUP($A62,CHARMS!$A$6:$CQ$89,40,)))</f>
        <v/>
      </c>
      <c r="E62" s="389" t="str">
        <f>IF($A62="","",IF(HLOOKUP($A62,CHARMS!$A$6:$CQ$89,40,)=0,"Unkown",CONCATENATE(HLOOKUP($A62,CHARMS!$A$6:$CQ$89,41,)," (",FIXED((HLOOKUP($A62,CHARMS!$A$6:$CQ$89,41,)/HLOOKUP($A62,CHARMS!$A$6:$CQ$89,40,))*100,1),")")))</f>
        <v/>
      </c>
      <c r="F62" s="389" t="str">
        <f>IF($A62="","",IF(HLOOKUP($A62,CHARMS!$A$6:$CQ$89,33,)=0,"Unkown",HLOOKUP($A62,CHARMS!$A$6:$CQ$89,33,)))</f>
        <v/>
      </c>
      <c r="G62" s="389" t="str">
        <f>IF($A62="","",HLOOKUP($A62,CHARMS!$A$6:$CQ$89,79,))</f>
        <v/>
      </c>
      <c r="H62" s="391" t="str">
        <f>IF($A62="","",HLOOKUP($A62,CHARMS!$A$6:$CQ$89,43,))</f>
        <v/>
      </c>
      <c r="I62" s="389" t="str">
        <f>IF($A62="","",HLOOKUP($A62,CHARMS!$A$6:$CQ$89,49,))</f>
        <v/>
      </c>
      <c r="J62" s="389" t="str">
        <f>IF($A62="","",HLOOKUP($A62,CHARMS!$A$6:$CQ$89,50,))</f>
        <v/>
      </c>
      <c r="K62" s="389" t="str">
        <f>CONCATENATE(IF($A62="","",IF(OR(HLOOKUP($A62,CHARMS!$A$6:$CQ$89,40,)=0,ISTEXT(HLOOKUP($A62,CHARMS!$A$6:$CQ$89,45,))),"n (%): Unkown",CONCATENATE("n (%): ",HLOOKUP($A62,CHARMS!$A$6:$CQ$89,45,)," (",FIXED((HLOOKUP($A62,CHARMS!$A$6:$CQ$89,45,)/HLOOKUP($A62,CHARMS!$A$6:$CQ$89,40,))*100,1),")"))),CHAR(10),IF($A62="","",CONCATENATE("Method: ",HLOOKUP($A62,CHARMS!$A$6:$CQ$89,46,))))</f>
        <v xml:space="preserve">
</v>
      </c>
      <c r="L62" s="391" t="str">
        <f>IF($A62="","",CONCATENATE("Int: ",HLOOKUP($A62,CHARMS!$A$6:$CQ$89,75,),CHAR(10),"Ext : ",HLOOKUP($A62,CHARMS!$A$6:$CQ$89,76,)))</f>
        <v/>
      </c>
      <c r="M62" s="391" t="str">
        <f>IF($A62="","",CONCATENATE("Cal: ",HLOOKUP($A62,CHARMS!$A$6:$CQ$89,53,),CHAR(10),"Disc : ",HLOOKUP($A62,CHARMS!$A$6:$CQ$89,59,),CHAR(10),"Ov: ",HLOOKUP($A62,CHARMS!$A$6:$CQ$89,66,)))</f>
        <v/>
      </c>
      <c r="N62" s="136" t="s">
        <v>30</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95"/>
      <c r="B63" s="397"/>
      <c r="C63" s="390"/>
      <c r="D63" s="394"/>
      <c r="E63" s="390"/>
      <c r="F63" s="390"/>
      <c r="G63" s="390"/>
      <c r="H63" s="392"/>
      <c r="I63" s="390"/>
      <c r="J63" s="390"/>
      <c r="K63" s="399"/>
      <c r="L63" s="392"/>
      <c r="M63" s="392"/>
      <c r="N63" s="141" t="s">
        <v>29</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95" t="str">
        <f>CHARMS!CO$6</f>
        <v/>
      </c>
      <c r="B64" s="396" t="str">
        <f>HLOOKUP($A64,CHARMS!$A$6:$CQ$89,1,)</f>
        <v/>
      </c>
      <c r="C64" s="389" t="str">
        <f>IF($A64="","",HLOOKUP($A64,CHARMS!$A$6:$CQ$89,48,))</f>
        <v/>
      </c>
      <c r="D64" s="393" t="str">
        <f>IF($A64="","",IF(HLOOKUP($A64,CHARMS!$A$6:$CQ$89,40,)=0,"Unkown",HLOOKUP($A64,CHARMS!$A$6:$CQ$89,40,)))</f>
        <v/>
      </c>
      <c r="E64" s="389" t="str">
        <f>IF($A64="","",IF(HLOOKUP($A64,CHARMS!$A$6:$CQ$89,40,)=0,"Unkown",CONCATENATE(HLOOKUP($A64,CHARMS!$A$6:$CQ$89,41,)," (",FIXED((HLOOKUP($A64,CHARMS!$A$6:$CQ$89,41,)/HLOOKUP($A64,CHARMS!$A$6:$CQ$89,40,))*100,1),")")))</f>
        <v/>
      </c>
      <c r="F64" s="389" t="str">
        <f>IF($A64="","",IF(HLOOKUP($A64,CHARMS!$A$6:$CQ$89,33,)=0,"Unkown",HLOOKUP($A64,CHARMS!$A$6:$CQ$89,33,)))</f>
        <v/>
      </c>
      <c r="G64" s="389" t="str">
        <f>IF($A64="","",HLOOKUP($A64,CHARMS!$A$6:$CQ$89,79,))</f>
        <v/>
      </c>
      <c r="H64" s="391" t="str">
        <f>IF($A64="","",HLOOKUP($A64,CHARMS!$A$6:$CQ$89,43,))</f>
        <v/>
      </c>
      <c r="I64" s="389" t="str">
        <f>IF($A64="","",HLOOKUP($A64,CHARMS!$A$6:$CQ$89,49,))</f>
        <v/>
      </c>
      <c r="J64" s="389" t="str">
        <f>IF($A64="","",HLOOKUP($A64,CHARMS!$A$6:$CQ$89,50,))</f>
        <v/>
      </c>
      <c r="K64" s="389" t="str">
        <f>CONCATENATE(IF($A64="","",IF(OR(HLOOKUP($A64,CHARMS!$A$6:$CQ$89,40,)=0,ISTEXT(HLOOKUP($A64,CHARMS!$A$6:$CQ$89,45,))),"n (%): Unkown",CONCATENATE("n (%): ",HLOOKUP($A64,CHARMS!$A$6:$CQ$89,45,)," (",FIXED((HLOOKUP($A64,CHARMS!$A$6:$CQ$89,45,)/HLOOKUP($A64,CHARMS!$A$6:$CQ$89,40,))*100,1),")"))),CHAR(10),IF($A64="","",CONCATENATE("Method: ",HLOOKUP($A64,CHARMS!$A$6:$CQ$89,46,))))</f>
        <v xml:space="preserve">
</v>
      </c>
      <c r="L64" s="391" t="str">
        <f>IF($A64="","",CONCATENATE("Int: ",HLOOKUP($A64,CHARMS!$A$6:$CQ$89,75,),CHAR(10),"Ext : ",HLOOKUP($A64,CHARMS!$A$6:$CQ$89,76,)))</f>
        <v/>
      </c>
      <c r="M64" s="391" t="str">
        <f>IF($A64="","",CONCATENATE("Cal: ",HLOOKUP($A64,CHARMS!$A$6:$CQ$89,53,),CHAR(10),"Disc : ",HLOOKUP($A64,CHARMS!$A$6:$CQ$89,59,),CHAR(10),"Ov: ",HLOOKUP($A64,CHARMS!$A$6:$CQ$89,66,)))</f>
        <v/>
      </c>
      <c r="N64" s="136" t="s">
        <v>30</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400"/>
      <c r="B65" s="401"/>
      <c r="C65" s="399"/>
      <c r="D65" s="402"/>
      <c r="E65" s="399"/>
      <c r="F65" s="399"/>
      <c r="G65" s="399"/>
      <c r="H65" s="398"/>
      <c r="I65" s="399"/>
      <c r="J65" s="399"/>
      <c r="K65" s="390"/>
      <c r="L65" s="398"/>
      <c r="M65" s="398"/>
      <c r="N65" s="141" t="s">
        <v>29</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60:K61"/>
    <mergeCell ref="K62:K63"/>
    <mergeCell ref="K64:K65"/>
    <mergeCell ref="K42:K43"/>
    <mergeCell ref="K44:K45"/>
    <mergeCell ref="K46:K47"/>
    <mergeCell ref="K48:K49"/>
    <mergeCell ref="K50:K51"/>
    <mergeCell ref="K52:K53"/>
    <mergeCell ref="K54:K55"/>
    <mergeCell ref="K56:K57"/>
    <mergeCell ref="K58:K59"/>
    <mergeCell ref="K24:K25"/>
    <mergeCell ref="K26:K27"/>
    <mergeCell ref="K28:K29"/>
    <mergeCell ref="K30:K31"/>
    <mergeCell ref="K32:K33"/>
    <mergeCell ref="K34:K35"/>
    <mergeCell ref="K36:K37"/>
    <mergeCell ref="K38:K39"/>
    <mergeCell ref="K40:K41"/>
    <mergeCell ref="K6:K7"/>
    <mergeCell ref="K8:K9"/>
    <mergeCell ref="K10:K11"/>
    <mergeCell ref="K12:K13"/>
    <mergeCell ref="K14:K15"/>
    <mergeCell ref="K16:K17"/>
    <mergeCell ref="K18:K19"/>
    <mergeCell ref="K20:K21"/>
    <mergeCell ref="K22:K23"/>
    <mergeCell ref="L64:L65"/>
    <mergeCell ref="M64:M65"/>
    <mergeCell ref="F64:F65"/>
    <mergeCell ref="G64:G65"/>
    <mergeCell ref="H64:H65"/>
    <mergeCell ref="I64:I65"/>
    <mergeCell ref="J64:J65"/>
    <mergeCell ref="A64:A65"/>
    <mergeCell ref="B64:B65"/>
    <mergeCell ref="C64:C65"/>
    <mergeCell ref="D64:D65"/>
    <mergeCell ref="E64:E65"/>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D14:D15"/>
    <mergeCell ref="E14:E15"/>
    <mergeCell ref="F14:F15"/>
    <mergeCell ref="G14:G15"/>
    <mergeCell ref="H14:H15"/>
    <mergeCell ref="I14:I15"/>
    <mergeCell ref="L16:L17"/>
    <mergeCell ref="J14:J15"/>
    <mergeCell ref="L14:L1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s>
  <conditionalFormatting sqref="B6:J65 L6:R65">
    <cfRule type="expression" dxfId="65" priority="32">
      <formula>B6=0</formula>
    </cfRule>
  </conditionalFormatting>
  <conditionalFormatting sqref="K6 K8 K10 K12 K14 K16 K18 K20 K22 K24 K26 K28 K30 K32 K34 K36 K38 K40 K42 K44 K46 K48 K50 K52 K54 K56 K58 K60 K62 K64">
    <cfRule type="expression" dxfId="40" priority="1">
      <formula>K6=0</formula>
    </cfRule>
  </conditionalFormatting>
  <conditionalFormatting sqref="O6:R65">
    <cfRule type="cellIs" dxfId="9" priority="63" operator="equal">
      <formula>"?"</formula>
    </cfRule>
    <cfRule type="cellIs" dxfId="8" priority="64" operator="equal">
      <formula>"-"</formula>
    </cfRule>
    <cfRule type="cellIs" dxfId="7" priority="65" operator="equal">
      <formula>"+"</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 P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zoomScale="85" zoomScaleNormal="85" workbookViewId="0">
      <selection activeCell="K26" sqref="B4:K26"/>
    </sheetView>
  </sheetViews>
  <sheetFormatPr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409" t="s">
        <v>362</v>
      </c>
      <c r="C3" s="410"/>
      <c r="D3" s="410"/>
      <c r="E3" s="410"/>
      <c r="F3" s="410"/>
      <c r="G3" s="410"/>
      <c r="H3" s="410"/>
      <c r="I3" s="410"/>
      <c r="J3" s="410"/>
      <c r="K3" s="411"/>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406" t="s">
        <v>340</v>
      </c>
      <c r="C4" s="405" t="s">
        <v>363</v>
      </c>
      <c r="D4" s="405"/>
      <c r="E4" s="405"/>
      <c r="F4" s="406"/>
      <c r="G4" s="407" t="s">
        <v>270</v>
      </c>
      <c r="H4" s="405"/>
      <c r="I4" s="406"/>
      <c r="J4" s="403" t="s">
        <v>364</v>
      </c>
      <c r="K4" s="404"/>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408"/>
      <c r="C5" s="146" t="s">
        <v>365</v>
      </c>
      <c r="D5" s="146" t="s">
        <v>366</v>
      </c>
      <c r="E5" s="146" t="s">
        <v>367</v>
      </c>
      <c r="F5" s="147" t="s">
        <v>368</v>
      </c>
      <c r="G5" s="148" t="s">
        <v>365</v>
      </c>
      <c r="H5" s="146" t="s">
        <v>366</v>
      </c>
      <c r="I5" s="147" t="s">
        <v>367</v>
      </c>
      <c r="J5" s="149" t="s">
        <v>369</v>
      </c>
      <c r="K5" s="150" t="s">
        <v>370</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Jill M. Brooks, 2019</v>
      </c>
      <c r="B6" s="188" t="str">
        <f>HLOOKUP($A6,CHARMS!$A$6:$CQ$89,1,)</f>
        <v>Jill M. Brooks, 2019</v>
      </c>
      <c r="C6" s="151" t="str">
        <f>_xlfn.IFNA(IF(HLOOKUP($A6,PROBAST!$A$6:$AE$77,11,)="Low RoB","+",IF(HLOOKUP($A6,PROBAST!$A$6:$AE$77,11,)="High RoB","-",IF(HLOOKUP($A6,PROBAST!$A$6:$AE$77,11,)="Unclear","?",""))),"")</f>
        <v>+</v>
      </c>
      <c r="D6" s="152" t="str">
        <f>_xlfn.IFNA(IF(HLOOKUP($A6,PROBAST!$A$6:$AE$77,25,)="Low RoB","+",IF(HLOOKUP($A6,PROBAST!$A$6:$AE$77,25,)="High RoB","-",IF(HLOOKUP($A6,PROBAST!$A$6:$AE$77,25,)="Unclear","?",""))),"")</f>
        <v>+</v>
      </c>
      <c r="E6" s="152" t="str">
        <f>_xlfn.IFNA(IF(HLOOKUP($A6,PROBAST!$A$6:$AE$77,39,)="Low RoB","+",IF(HLOOKUP($A6,PROBAST!$A$6:$AE$77,39,)="High RoB","-",IF(HLOOKUP($A6,PROBAST!$A$6:$AE$77,39,)="Unclear","?",""))),"")</f>
        <v>+</v>
      </c>
      <c r="F6" s="153" t="str">
        <f>_xlfn.IFNA(IF(HLOOKUP($A6,PROBAST!$A$6:$AE$77,58,)="Low RoB","+",IF(HLOOKUP($A6,PROBAST!$A$6:$AE$77,58,)="High RoB","-",IF(HLOOKUP($A6,PROBAST!$A$6:$AE$77,58,)="Unclear","?",""))),"")</f>
        <v>+</v>
      </c>
      <c r="G6" s="154" t="str">
        <f>_xlfn.IFNA(IF(HLOOKUP($A6,PROBAST!$A$6:$AE$77,12,)="Low concern","+",IF(HLOOKUP($A6,PROBAST!$A$6:$AE$77,12,)="High concern","-",IF(HLOOKUP($A6,PROBAST!$A$6:$AE$77,12,)="Unclear","?",""))),"")</f>
        <v>+</v>
      </c>
      <c r="H6" s="152" t="str">
        <f>_xlfn.IFNA(IF(HLOOKUP($A6,PROBAST!$A$6:$AE$77,26,)="Low concern","+",IF(HLOOKUP($A6,PROBAST!$A$6:$AE$77,26,)="High concern","-",IF(HLOOKUP($A6,PROBAST!$A$6:$AE$77,26,)="Unclear","?",""))),"")</f>
        <v>+</v>
      </c>
      <c r="I6" s="153" t="str">
        <f>_xlfn.IFNA(IF(HLOOKUP($A6,PROBAST!$A$6:$AE$77,40,)="Low concern","+",IF(HLOOKUP($A6,PROBAST!$A$6:$AE$77,40,)="High concern","-",IF(HLOOKUP($A6,PROBAST!$A$6:$AE$77,40,)="Unclear","?",""))),"")</f>
        <v>+</v>
      </c>
      <c r="J6" s="155" t="str">
        <f>_xlfn.IFNA(IF(OR($C6="-",$D6="-",$E6="-",$F6="-"),"-",IF(OR($C6="?",$D6="?",$E6="?",$F6="?"),"?",IF(AND($C6="+",$D6="+",$E6="+",$F6="+"),"+",""))),"")</f>
        <v>+</v>
      </c>
      <c r="K6" s="156" t="str">
        <f>_xlfn.IFNA(IF(OR($G6="-",$H6="-",$I6="-"),"-",IF(OR($G6="?",$H6="?",$I6="?"),"?",IF(AND($G6="+",$H6="+",$I6="+"),"+",""))),"")</f>
        <v>+</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Edian F. Franco, 2013</v>
      </c>
      <c r="B7" s="188" t="str">
        <f>HLOOKUP($A7,CHARMS!$A$6:$CQ$89,1,)</f>
        <v>Edian F. Franco, 2013</v>
      </c>
      <c r="C7" s="151" t="str">
        <f>_xlfn.IFNA(IF(HLOOKUP($A7,PROBAST!$A$6:$AE$77,11,)="Low RoB","+",IF(HLOOKUP($A7,PROBAST!$A$6:$AE$77,11,)="High RoB","-",IF(HLOOKUP($A7,PROBAST!$A$6:$AE$77,11,)="Unclear","?",""))),"")</f>
        <v>+</v>
      </c>
      <c r="D7" s="152" t="str">
        <f>_xlfn.IFNA(IF(HLOOKUP($A7,PROBAST!$A$6:$AE$77,25,)="Low RoB","+",IF(HLOOKUP($A7,PROBAST!$A$6:$AE$77,25,)="High RoB","-",IF(HLOOKUP($A7,PROBAST!$A$6:$AE$77,25,)="Unclear","?",""))),"")</f>
        <v>+</v>
      </c>
      <c r="E7" s="152" t="str">
        <f>_xlfn.IFNA(IF(HLOOKUP($A7,PROBAST!$A$6:$AE$77,39,)="Low RoB","+",IF(HLOOKUP($A7,PROBAST!$A$6:$AE$77,39,)="High RoB","-",IF(HLOOKUP($A7,PROBAST!$A$6:$AE$77,39,)="Unclear","?",""))),"")</f>
        <v>+</v>
      </c>
      <c r="F7" s="153" t="str">
        <f>_xlfn.IFNA(IF(HLOOKUP($A7,PROBAST!$A$6:$AE$77,58,)="Low RoB","+",IF(HLOOKUP($A7,PROBAST!$A$6:$AE$77,58,)="High RoB","-",IF(HLOOKUP($A7,PROBAST!$A$6:$AE$77,58,)="Unclear","?",""))),"")</f>
        <v>+</v>
      </c>
      <c r="G7" s="154" t="str">
        <f>_xlfn.IFNA(IF(HLOOKUP($A7,PROBAST!$A$6:$AE$77,12,)="Low concern","+",IF(HLOOKUP($A7,PROBAST!$A$6:$AE$77,12,)="High concern","-",IF(HLOOKUP($A7,PROBAST!$A$6:$AE$77,12,)="Unclear","?",""))),"")</f>
        <v>+</v>
      </c>
      <c r="H7" s="152" t="str">
        <f>_xlfn.IFNA(IF(HLOOKUP($A7,PROBAST!$A$6:$AE$77,26,)="Low concern","+",IF(HLOOKUP($A7,PROBAST!$A$6:$AE$77,26,)="High concern","-",IF(HLOOKUP($A7,PROBAST!$A$6:$AE$77,26,)="Unclear","?",""))),"")</f>
        <v>+</v>
      </c>
      <c r="I7" s="153" t="str">
        <f>_xlfn.IFNA(IF(HLOOKUP($A7,PROBAST!$A$6:$AE$77,40,)="Low concern","+",IF(HLOOKUP($A7,PROBAST!$A$6:$AE$77,40,)="High concern","-",IF(HLOOKUP($A7,PROBAST!$A$6:$AE$77,40,)="Unclear","?",""))),"")</f>
        <v>+</v>
      </c>
      <c r="J7" s="155" t="str">
        <f t="shared" ref="J7:J35" si="0">_xlfn.IFNA(IF(OR($C7="-",$D7="-",$E7="-",$F7="-"),"-",IF(OR($C7="?",$D7="?",$E7="?",$F7="?"),"?",IF(AND($C7="+",$D7="+",$E7="+",$F7="+"),"+",""))),"")</f>
        <v>+</v>
      </c>
      <c r="K7" s="156" t="str">
        <f t="shared" ref="K7:K35" si="1">_xlfn.IFNA(IF(OR($G7="-",$H7="-",$I7="-"),"-",IF(OR($G7="?",$H7="?",$I7="?"),"?",IF(AND($G7="+",$H7="+",$I7="+"),"+",""))),"")</f>
        <v>+</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Cheng-Peng Gui, 2021</v>
      </c>
      <c r="B8" s="188" t="str">
        <f>HLOOKUP($A8,CHARMS!$A$6:$CQ$89,1,)</f>
        <v>Cheng-Peng Gui, 2021</v>
      </c>
      <c r="C8" s="151" t="str">
        <f>_xlfn.IFNA(IF(HLOOKUP($A8,PROBAST!$A$6:$AE$77,11,)="Low RoB","+",IF(HLOOKUP($A8,PROBAST!$A$6:$AE$77,11,)="High RoB","-",IF(HLOOKUP($A8,PROBAST!$A$6:$AE$77,11,)="Unclear","?",""))),"")</f>
        <v>-</v>
      </c>
      <c r="D8" s="152" t="str">
        <f>_xlfn.IFNA(IF(HLOOKUP($A8,PROBAST!$A$6:$AE$77,25,)="Low RoB","+",IF(HLOOKUP($A8,PROBAST!$A$6:$AE$77,25,)="High RoB","-",IF(HLOOKUP($A8,PROBAST!$A$6:$AE$77,25,)="Unclear","?",""))),"")</f>
        <v>+</v>
      </c>
      <c r="E8" s="152" t="str">
        <f>_xlfn.IFNA(IF(HLOOKUP($A8,PROBAST!$A$6:$AE$77,39,)="Low RoB","+",IF(HLOOKUP($A8,PROBAST!$A$6:$AE$77,39,)="High RoB","-",IF(HLOOKUP($A8,PROBAST!$A$6:$AE$77,39,)="Unclear","?",""))),"")</f>
        <v>+</v>
      </c>
      <c r="F8" s="153" t="str">
        <f>_xlfn.IFNA(IF(HLOOKUP($A8,PROBAST!$A$6:$AE$77,58,)="Low RoB","+",IF(HLOOKUP($A8,PROBAST!$A$6:$AE$77,58,)="High RoB","-",IF(HLOOKUP($A8,PROBAST!$A$6:$AE$77,58,)="Unclear","?",""))),"")</f>
        <v>?</v>
      </c>
      <c r="G8" s="154" t="str">
        <f>_xlfn.IFNA(IF(HLOOKUP($A8,PROBAST!$A$6:$AE$77,12,)="Low concern","+",IF(HLOOKUP($A8,PROBAST!$A$6:$AE$77,12,)="High concern","-",IF(HLOOKUP($A8,PROBAST!$A$6:$AE$77,12,)="Unclear","?",""))),"")</f>
        <v>+</v>
      </c>
      <c r="H8" s="152" t="str">
        <f>_xlfn.IFNA(IF(HLOOKUP($A8,PROBAST!$A$6:$AE$77,26,)="Low concern","+",IF(HLOOKUP($A8,PROBAST!$A$6:$AE$77,26,)="High concern","-",IF(HLOOKUP($A8,PROBAST!$A$6:$AE$77,26,)="Unclear","?",""))),"")</f>
        <v>+</v>
      </c>
      <c r="I8" s="153" t="str">
        <f>_xlfn.IFNA(IF(HLOOKUP($A8,PROBAST!$A$6:$AE$77,40,)="Low concern","+",IF(HLOOKUP($A8,PROBAST!$A$6:$AE$77,40,)="High concern","-",IF(HLOOKUP($A8,PROBAST!$A$6:$AE$77,40,)="Unclear","?",""))),"")</f>
        <v>+</v>
      </c>
      <c r="J8" s="155" t="str">
        <f t="shared" si="0"/>
        <v>-</v>
      </c>
      <c r="K8" s="156" t="str">
        <f t="shared" si="1"/>
        <v>+</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Yifan Liu, 2020</v>
      </c>
      <c r="B9" s="188" t="str">
        <f>HLOOKUP($A9,CHARMS!$A$6:$CQ$89,1,)</f>
        <v>Yifan Liu, 2020</v>
      </c>
      <c r="C9" s="151" t="str">
        <f>_xlfn.IFNA(IF(HLOOKUP($A9,PROBAST!$A$6:$AE$77,11,)="Low RoB","+",IF(HLOOKUP($A9,PROBAST!$A$6:$AE$77,11,)="High RoB","-",IF(HLOOKUP($A9,PROBAST!$A$6:$AE$77,11,)="Unclear","?",""))),"")</f>
        <v>+</v>
      </c>
      <c r="D9" s="152" t="str">
        <f>_xlfn.IFNA(IF(HLOOKUP($A9,PROBAST!$A$6:$AE$77,25,)="Low RoB","+",IF(HLOOKUP($A9,PROBAST!$A$6:$AE$77,25,)="High RoB","-",IF(HLOOKUP($A9,PROBAST!$A$6:$AE$77,25,)="Unclear","?",""))),"")</f>
        <v>+</v>
      </c>
      <c r="E9" s="152" t="str">
        <f>_xlfn.IFNA(IF(HLOOKUP($A9,PROBAST!$A$6:$AE$77,39,)="Low RoB","+",IF(HLOOKUP($A9,PROBAST!$A$6:$AE$77,39,)="High RoB","-",IF(HLOOKUP($A9,PROBAST!$A$6:$AE$77,39,)="Unclear","?",""))),"")</f>
        <v>?</v>
      </c>
      <c r="F9" s="153" t="str">
        <f>_xlfn.IFNA(IF(HLOOKUP($A9,PROBAST!$A$6:$AE$77,58,)="Low RoB","+",IF(HLOOKUP($A9,PROBAST!$A$6:$AE$77,58,)="High RoB","-",IF(HLOOKUP($A9,PROBAST!$A$6:$AE$77,58,)="Unclear","?",""))),"")</f>
        <v>?</v>
      </c>
      <c r="G9" s="154" t="str">
        <f>_xlfn.IFNA(IF(HLOOKUP($A9,PROBAST!$A$6:$AE$77,12,)="Low concern","+",IF(HLOOKUP($A9,PROBAST!$A$6:$AE$77,12,)="High concern","-",IF(HLOOKUP($A9,PROBAST!$A$6:$AE$77,12,)="Unclear","?",""))),"")</f>
        <v>+</v>
      </c>
      <c r="H9" s="152" t="str">
        <f>_xlfn.IFNA(IF(HLOOKUP($A9,PROBAST!$A$6:$AE$77,26,)="Low concern","+",IF(HLOOKUP($A9,PROBAST!$A$6:$AE$77,26,)="High concern","-",IF(HLOOKUP($A9,PROBAST!$A$6:$AE$77,26,)="Unclear","?",""))),"")</f>
        <v>+</v>
      </c>
      <c r="I9" s="153" t="str">
        <f>_xlfn.IFNA(IF(HLOOKUP($A9,PROBAST!$A$6:$AE$77,40,)="Low concern","+",IF(HLOOKUP($A9,PROBAST!$A$6:$AE$77,40,)="High concern","-",IF(HLOOKUP($A9,PROBAST!$A$6:$AE$77,40,)="Unclear","?",""))),"")</f>
        <v>+</v>
      </c>
      <c r="J9" s="155" t="str">
        <f t="shared" si="0"/>
        <v>?</v>
      </c>
      <c r="K9" s="156" t="str">
        <f t="shared" si="1"/>
        <v>+</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e">
        <f>CHARMS!R$6</f>
        <v>#REF!</v>
      </c>
      <c r="B10" s="188" t="e">
        <f>HLOOKUP($A10,CHARMS!$A$6:$CQ$89,1,)</f>
        <v>#REF!</v>
      </c>
      <c r="C10" s="151" t="e">
        <f>_xlfn.IFNA(IF(HLOOKUP($A10,PROBAST!$A$6:$AE$77,11,)="Low RoB","+",IF(HLOOKUP($A10,PROBAST!$A$6:$AE$77,11,)="High RoB","-",IF(HLOOKUP($A10,PROBAST!$A$6:$AE$77,11,)="Unclear","?",""))),"")</f>
        <v>#REF!</v>
      </c>
      <c r="D10" s="152" t="e">
        <f>_xlfn.IFNA(IF(HLOOKUP($A10,PROBAST!$A$6:$AE$77,25,)="Low RoB","+",IF(HLOOKUP($A10,PROBAST!$A$6:$AE$77,25,)="High RoB","-",IF(HLOOKUP($A10,PROBAST!$A$6:$AE$77,25,)="Unclear","?",""))),"")</f>
        <v>#REF!</v>
      </c>
      <c r="E10" s="152" t="e">
        <f>_xlfn.IFNA(IF(HLOOKUP($A10,PROBAST!$A$6:$AE$77,39,)="Low RoB","+",IF(HLOOKUP($A10,PROBAST!$A$6:$AE$77,39,)="High RoB","-",IF(HLOOKUP($A10,PROBAST!$A$6:$AE$77,39,)="Unclear","?",""))),"")</f>
        <v>#REF!</v>
      </c>
      <c r="F10" s="153" t="e">
        <f>_xlfn.IFNA(IF(HLOOKUP($A10,PROBAST!$A$6:$AE$77,58,)="Low RoB","+",IF(HLOOKUP($A10,PROBAST!$A$6:$AE$77,58,)="High RoB","-",IF(HLOOKUP($A10,PROBAST!$A$6:$AE$77,58,)="Unclear","?",""))),"")</f>
        <v>#REF!</v>
      </c>
      <c r="G10" s="154" t="e">
        <f>_xlfn.IFNA(IF(HLOOKUP($A10,PROBAST!$A$6:$AE$77,12,)="Low concern","+",IF(HLOOKUP($A10,PROBAST!$A$6:$AE$77,12,)="High concern","-",IF(HLOOKUP($A10,PROBAST!$A$6:$AE$77,12,)="Unclear","?",""))),"")</f>
        <v>#REF!</v>
      </c>
      <c r="H10" s="152" t="e">
        <f>_xlfn.IFNA(IF(HLOOKUP($A10,PROBAST!$A$6:$AE$77,26,)="Low concern","+",IF(HLOOKUP($A10,PROBAST!$A$6:$AE$77,26,)="High concern","-",IF(HLOOKUP($A10,PROBAST!$A$6:$AE$77,26,)="Unclear","?",""))),"")</f>
        <v>#REF!</v>
      </c>
      <c r="I10" s="153" t="e">
        <f>_xlfn.IFNA(IF(HLOOKUP($A10,PROBAST!$A$6:$AE$77,40,)="Low concern","+",IF(HLOOKUP($A10,PROBAST!$A$6:$AE$77,40,)="High concern","-",IF(HLOOKUP($A10,PROBAST!$A$6:$AE$77,40,)="Unclear","?",""))),"")</f>
        <v>#REF!</v>
      </c>
      <c r="J10" s="155" t="e">
        <f t="shared" si="0"/>
        <v>#REF!</v>
      </c>
      <c r="K10" s="156" t="e">
        <f t="shared" si="1"/>
        <v>#REF!</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Jia Li, 2022</v>
      </c>
      <c r="B11" s="188" t="str">
        <f>HLOOKUP($A11,CHARMS!$A$6:$CQ$89,1,)</f>
        <v>Jia Li, 2022</v>
      </c>
      <c r="C11" s="151" t="str">
        <f>_xlfn.IFNA(IF(HLOOKUP($A11,PROBAST!$A$6:$AE$77,11,)="Low RoB","+",IF(HLOOKUP($A11,PROBAST!$A$6:$AE$77,11,)="High RoB","-",IF(HLOOKUP($A11,PROBAST!$A$6:$AE$77,11,)="Unclear","?",""))),"")</f>
        <v>+</v>
      </c>
      <c r="D11" s="152" t="str">
        <f>_xlfn.IFNA(IF(HLOOKUP($A11,PROBAST!$A$6:$AE$77,25,)="Low RoB","+",IF(HLOOKUP($A11,PROBAST!$A$6:$AE$77,25,)="High RoB","-",IF(HLOOKUP($A11,PROBAST!$A$6:$AE$77,25,)="Unclear","?",""))),"")</f>
        <v>+</v>
      </c>
      <c r="E11" s="152" t="str">
        <f>_xlfn.IFNA(IF(HLOOKUP($A11,PROBAST!$A$6:$AE$77,39,)="Low RoB","+",IF(HLOOKUP($A11,PROBAST!$A$6:$AE$77,39,)="High RoB","-",IF(HLOOKUP($A11,PROBAST!$A$6:$AE$77,39,)="Unclear","?",""))),"")</f>
        <v>+</v>
      </c>
      <c r="F11" s="153" t="str">
        <f>_xlfn.IFNA(IF(HLOOKUP($A11,PROBAST!$A$6:$AE$77,58,)="Low RoB","+",IF(HLOOKUP($A11,PROBAST!$A$6:$AE$77,58,)="High RoB","-",IF(HLOOKUP($A11,PROBAST!$A$6:$AE$77,58,)="Unclear","?",""))),"")</f>
        <v>-</v>
      </c>
      <c r="G11" s="154" t="str">
        <f>_xlfn.IFNA(IF(HLOOKUP($A11,PROBAST!$A$6:$AE$77,12,)="Low concern","+",IF(HLOOKUP($A11,PROBAST!$A$6:$AE$77,12,)="High concern","-",IF(HLOOKUP($A11,PROBAST!$A$6:$AE$77,12,)="Unclear","?",""))),"")</f>
        <v>+</v>
      </c>
      <c r="H11" s="152" t="str">
        <f>_xlfn.IFNA(IF(HLOOKUP($A11,PROBAST!$A$6:$AE$77,26,)="Low concern","+",IF(HLOOKUP($A11,PROBAST!$A$6:$AE$77,26,)="High concern","-",IF(HLOOKUP($A11,PROBAST!$A$6:$AE$77,26,)="Unclear","?",""))),"")</f>
        <v>+</v>
      </c>
      <c r="I11" s="153" t="str">
        <f>_xlfn.IFNA(IF(HLOOKUP($A11,PROBAST!$A$6:$AE$77,40,)="Low concern","+",IF(HLOOKUP($A11,PROBAST!$A$6:$AE$77,40,)="High concern","-",IF(HLOOKUP($A11,PROBAST!$A$6:$AE$77,40,)="Unclear","?",""))),"")</f>
        <v>-</v>
      </c>
      <c r="J11" s="155" t="str">
        <f t="shared" si="0"/>
        <v>-</v>
      </c>
      <c r="K11" s="156" t="str">
        <f t="shared" si="1"/>
        <v>-</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Run Shi , 2021</v>
      </c>
      <c r="B12" s="188" t="str">
        <f>HLOOKUP($A12,CHARMS!$A$6:$CQ$89,1,)</f>
        <v>Run Shi , 2021</v>
      </c>
      <c r="C12" s="151" t="str">
        <f>_xlfn.IFNA(IF(HLOOKUP($A12,PROBAST!$A$6:$AE$77,11,)="Low RoB","+",IF(HLOOKUP($A12,PROBAST!$A$6:$AE$77,11,)="High RoB","-",IF(HLOOKUP($A12,PROBAST!$A$6:$AE$77,11,)="Unclear","?",""))),"")</f>
        <v>+</v>
      </c>
      <c r="D12" s="152" t="str">
        <f>_xlfn.IFNA(IF(HLOOKUP($A12,PROBAST!$A$6:$AE$77,25,)="Low RoB","+",IF(HLOOKUP($A12,PROBAST!$A$6:$AE$77,25,)="High RoB","-",IF(HLOOKUP($A12,PROBAST!$A$6:$AE$77,25,)="Unclear","?",""))),"")</f>
        <v>+</v>
      </c>
      <c r="E12" s="152" t="str">
        <f>_xlfn.IFNA(IF(HLOOKUP($A12,PROBAST!$A$6:$AE$77,39,)="Low RoB","+",IF(HLOOKUP($A12,PROBAST!$A$6:$AE$77,39,)="High RoB","-",IF(HLOOKUP($A12,PROBAST!$A$6:$AE$77,39,)="Unclear","?",""))),"")</f>
        <v>+</v>
      </c>
      <c r="F12" s="153" t="str">
        <f>_xlfn.IFNA(IF(HLOOKUP($A12,PROBAST!$A$6:$AE$77,58,)="Low RoB","+",IF(HLOOKUP($A12,PROBAST!$A$6:$AE$77,58,)="High RoB","-",IF(HLOOKUP($A12,PROBAST!$A$6:$AE$77,58,)="Unclear","?",""))),"")</f>
        <v>+</v>
      </c>
      <c r="G12" s="154" t="str">
        <f>_xlfn.IFNA(IF(HLOOKUP($A12,PROBAST!$A$6:$AE$77,12,)="Low concern","+",IF(HLOOKUP($A12,PROBAST!$A$6:$AE$77,12,)="High concern","-",IF(HLOOKUP($A12,PROBAST!$A$6:$AE$77,12,)="Unclear","?",""))),"")</f>
        <v>-</v>
      </c>
      <c r="H12" s="152" t="str">
        <f>_xlfn.IFNA(IF(HLOOKUP($A12,PROBAST!$A$6:$AE$77,26,)="Low concern","+",IF(HLOOKUP($A12,PROBAST!$A$6:$AE$77,26,)="High concern","-",IF(HLOOKUP($A12,PROBAST!$A$6:$AE$77,26,)="Unclear","?",""))),"")</f>
        <v>+</v>
      </c>
      <c r="I12" s="153" t="str">
        <f>_xlfn.IFNA(IF(HLOOKUP($A12,PROBAST!$A$6:$AE$77,40,)="Low concern","+",IF(HLOOKUP($A12,PROBAST!$A$6:$AE$77,40,)="High concern","-",IF(HLOOKUP($A12,PROBAST!$A$6:$AE$77,40,)="Unclear","?",""))),"")</f>
        <v>+</v>
      </c>
      <c r="J12" s="155" t="str">
        <f t="shared" si="0"/>
        <v>+</v>
      </c>
      <c r="K12" s="156" t="str">
        <f t="shared" si="1"/>
        <v>-</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Jun Shao, 2021</v>
      </c>
      <c r="B13" s="188" t="str">
        <f>HLOOKUP($A13,CHARMS!$A$6:$CQ$89,1,)</f>
        <v>Jun Shao, 2021</v>
      </c>
      <c r="C13" s="151" t="str">
        <f>_xlfn.IFNA(IF(HLOOKUP($A13,PROBAST!$A$6:$AE$77,11,)="Low RoB","+",IF(HLOOKUP($A13,PROBAST!$A$6:$AE$77,11,)="High RoB","-",IF(HLOOKUP($A13,PROBAST!$A$6:$AE$77,11,)="Unclear","?",""))),"")</f>
        <v>-</v>
      </c>
      <c r="D13" s="152" t="str">
        <f>_xlfn.IFNA(IF(HLOOKUP($A13,PROBAST!$A$6:$AE$77,25,)="Low RoB","+",IF(HLOOKUP($A13,PROBAST!$A$6:$AE$77,25,)="High RoB","-",IF(HLOOKUP($A13,PROBAST!$A$6:$AE$77,25,)="Unclear","?",""))),"")</f>
        <v>+</v>
      </c>
      <c r="E13" s="152" t="str">
        <f>_xlfn.IFNA(IF(HLOOKUP($A13,PROBAST!$A$6:$AE$77,39,)="Low RoB","+",IF(HLOOKUP($A13,PROBAST!$A$6:$AE$77,39,)="High RoB","-",IF(HLOOKUP($A13,PROBAST!$A$6:$AE$77,39,)="Unclear","?",""))),"")</f>
        <v>+</v>
      </c>
      <c r="F13" s="153" t="str">
        <f>_xlfn.IFNA(IF(HLOOKUP($A13,PROBAST!$A$6:$AE$77,58,)="Low RoB","+",IF(HLOOKUP($A13,PROBAST!$A$6:$AE$77,58,)="High RoB","-",IF(HLOOKUP($A13,PROBAST!$A$6:$AE$77,58,)="Unclear","?",""))),"")</f>
        <v>+</v>
      </c>
      <c r="G13" s="154" t="str">
        <f>_xlfn.IFNA(IF(HLOOKUP($A13,PROBAST!$A$6:$AE$77,12,)="Low concern","+",IF(HLOOKUP($A13,PROBAST!$A$6:$AE$77,12,)="High concern","-",IF(HLOOKUP($A13,PROBAST!$A$6:$AE$77,12,)="Unclear","?",""))),"")</f>
        <v>+</v>
      </c>
      <c r="H13" s="152" t="str">
        <f>_xlfn.IFNA(IF(HLOOKUP($A13,PROBAST!$A$6:$AE$77,26,)="Low concern","+",IF(HLOOKUP($A13,PROBAST!$A$6:$AE$77,26,)="High concern","-",IF(HLOOKUP($A13,PROBAST!$A$6:$AE$77,26,)="Unclear","?",""))),"")</f>
        <v>+</v>
      </c>
      <c r="I13" s="153" t="str">
        <f>_xlfn.IFNA(IF(HLOOKUP($A13,PROBAST!$A$6:$AE$77,40,)="Low concern","+",IF(HLOOKUP($A13,PROBAST!$A$6:$AE$77,40,)="High concern","-",IF(HLOOKUP($A13,PROBAST!$A$6:$AE$77,40,)="Unclear","?",""))),"")</f>
        <v>+</v>
      </c>
      <c r="J13" s="155" t="str">
        <f t="shared" si="0"/>
        <v>-</v>
      </c>
      <c r="K13" s="156" t="str">
        <f t="shared" si="1"/>
        <v>+</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Baohui Zhang, 2020</v>
      </c>
      <c r="B14" s="188" t="str">
        <f>HLOOKUP($A14,CHARMS!$A$6:$CQ$89,1,)</f>
        <v>Baohui Zhang, 2020</v>
      </c>
      <c r="C14" s="151" t="str">
        <f>_xlfn.IFNA(IF(HLOOKUP($A14,PROBAST!$A$6:$AE$77,11,)="Low RoB","+",IF(HLOOKUP($A14,PROBAST!$A$6:$AE$77,11,)="High RoB","-",IF(HLOOKUP($A14,PROBAST!$A$6:$AE$77,11,)="Unclear","?",""))),"")</f>
        <v>-</v>
      </c>
      <c r="D14" s="152" t="str">
        <f>_xlfn.IFNA(IF(HLOOKUP($A14,PROBAST!$A$6:$AE$77,25,)="Low RoB","+",IF(HLOOKUP($A14,PROBAST!$A$6:$AE$77,25,)="High RoB","-",IF(HLOOKUP($A14,PROBAST!$A$6:$AE$77,25,)="Unclear","?",""))),"")</f>
        <v>+</v>
      </c>
      <c r="E14" s="152" t="str">
        <f>_xlfn.IFNA(IF(HLOOKUP($A14,PROBAST!$A$6:$AE$77,39,)="Low RoB","+",IF(HLOOKUP($A14,PROBAST!$A$6:$AE$77,39,)="High RoB","-",IF(HLOOKUP($A14,PROBAST!$A$6:$AE$77,39,)="Unclear","?",""))),"")</f>
        <v>+</v>
      </c>
      <c r="F14" s="153" t="str">
        <f>_xlfn.IFNA(IF(HLOOKUP($A14,PROBAST!$A$6:$AE$77,58,)="Low RoB","+",IF(HLOOKUP($A14,PROBAST!$A$6:$AE$77,58,)="High RoB","-",IF(HLOOKUP($A14,PROBAST!$A$6:$AE$77,58,)="Unclear","?",""))),"")</f>
        <v>-</v>
      </c>
      <c r="G14" s="154" t="str">
        <f>_xlfn.IFNA(IF(HLOOKUP($A14,PROBAST!$A$6:$AE$77,12,)="Low concern","+",IF(HLOOKUP($A14,PROBAST!$A$6:$AE$77,12,)="High concern","-",IF(HLOOKUP($A14,PROBAST!$A$6:$AE$77,12,)="Unclear","?",""))),"")</f>
        <v>+</v>
      </c>
      <c r="H14" s="152" t="str">
        <f>_xlfn.IFNA(IF(HLOOKUP($A14,PROBAST!$A$6:$AE$77,26,)="Low concern","+",IF(HLOOKUP($A14,PROBAST!$A$6:$AE$77,26,)="High concern","-",IF(HLOOKUP($A14,PROBAST!$A$6:$AE$77,26,)="Unclear","?",""))),"")</f>
        <v>+</v>
      </c>
      <c r="I14" s="153" t="str">
        <f>_xlfn.IFNA(IF(HLOOKUP($A14,PROBAST!$A$6:$AE$77,40,)="Low concern","+",IF(HLOOKUP($A14,PROBAST!$A$6:$AE$77,40,)="High concern","-",IF(HLOOKUP($A14,PROBAST!$A$6:$AE$77,40,)="Unclear","?",""))),"")</f>
        <v>+</v>
      </c>
      <c r="J14" s="155" t="str">
        <f t="shared" si="0"/>
        <v>-</v>
      </c>
      <c r="K14" s="156" t="str">
        <f t="shared" si="1"/>
        <v>+</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Qiangnu Zhang, 2021</v>
      </c>
      <c r="B15" s="188" t="str">
        <f>HLOOKUP($A15,CHARMS!$A$6:$CQ$89,1,)</f>
        <v>Qiangnu Zhang, 2021</v>
      </c>
      <c r="C15" s="151" t="str">
        <f>_xlfn.IFNA(IF(HLOOKUP($A15,PROBAST!$A$6:$AE$77,11,)="Low RoB","+",IF(HLOOKUP($A15,PROBAST!$A$6:$AE$77,11,)="High RoB","-",IF(HLOOKUP($A15,PROBAST!$A$6:$AE$77,11,)="Unclear","?",""))),"")</f>
        <v>+</v>
      </c>
      <c r="D15" s="152" t="str">
        <f>_xlfn.IFNA(IF(HLOOKUP($A15,PROBAST!$A$6:$AE$77,25,)="Low RoB","+",IF(HLOOKUP($A15,PROBAST!$A$6:$AE$77,25,)="High RoB","-",IF(HLOOKUP($A15,PROBAST!$A$6:$AE$77,25,)="Unclear","?",""))),"")</f>
        <v>+</v>
      </c>
      <c r="E15" s="152" t="str">
        <f>_xlfn.IFNA(IF(HLOOKUP($A15,PROBAST!$A$6:$AE$77,39,)="Low RoB","+",IF(HLOOKUP($A15,PROBAST!$A$6:$AE$77,39,)="High RoB","-",IF(HLOOKUP($A15,PROBAST!$A$6:$AE$77,39,)="Unclear","?",""))),"")</f>
        <v>+</v>
      </c>
      <c r="F15" s="153" t="str">
        <f>_xlfn.IFNA(IF(HLOOKUP($A15,PROBAST!$A$6:$AE$77,58,)="Low RoB","+",IF(HLOOKUP($A15,PROBAST!$A$6:$AE$77,58,)="High RoB","-",IF(HLOOKUP($A15,PROBAST!$A$6:$AE$77,58,)="Unclear","?",""))),"")</f>
        <v>+</v>
      </c>
      <c r="G15" s="154" t="str">
        <f>_xlfn.IFNA(IF(HLOOKUP($A15,PROBAST!$A$6:$AE$77,12,)="Low concern","+",IF(HLOOKUP($A15,PROBAST!$A$6:$AE$77,12,)="High concern","-",IF(HLOOKUP($A15,PROBAST!$A$6:$AE$77,12,)="Unclear","?",""))),"")</f>
        <v>+</v>
      </c>
      <c r="H15" s="152" t="str">
        <f>_xlfn.IFNA(IF(HLOOKUP($A15,PROBAST!$A$6:$AE$77,26,)="Low concern","+",IF(HLOOKUP($A15,PROBAST!$A$6:$AE$77,26,)="High concern","-",IF(HLOOKUP($A15,PROBAST!$A$6:$AE$77,26,)="Unclear","?",""))),"")</f>
        <v>?</v>
      </c>
      <c r="I15" s="153" t="str">
        <f>_xlfn.IFNA(IF(HLOOKUP($A15,PROBAST!$A$6:$AE$77,40,)="Low concern","+",IF(HLOOKUP($A15,PROBAST!$A$6:$AE$77,40,)="High concern","-",IF(HLOOKUP($A15,PROBAST!$A$6:$AE$77,40,)="Unclear","?",""))),"")</f>
        <v>+</v>
      </c>
      <c r="J15" s="155" t="str">
        <f t="shared" si="0"/>
        <v>+</v>
      </c>
      <c r="K15" s="156" t="str">
        <f t="shared" si="1"/>
        <v>?</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Fanhong Zeng, 2021</v>
      </c>
      <c r="B16" s="188" t="str">
        <f>HLOOKUP($A16,CHARMS!$A$6:$CQ$89,1,)</f>
        <v>Fanhong Zeng, 2021</v>
      </c>
      <c r="C16" s="151" t="str">
        <f>_xlfn.IFNA(IF(HLOOKUP($A16,PROBAST!$A$6:$AE$77,11,)="Low RoB","+",IF(HLOOKUP($A16,PROBAST!$A$6:$AE$77,11,)="High RoB","-",IF(HLOOKUP($A16,PROBAST!$A$6:$AE$77,11,)="Unclear","?",""))),"")</f>
        <v>+</v>
      </c>
      <c r="D16" s="152" t="str">
        <f>_xlfn.IFNA(IF(HLOOKUP($A16,PROBAST!$A$6:$AE$77,25,)="Low RoB","+",IF(HLOOKUP($A16,PROBAST!$A$6:$AE$77,25,)="High RoB","-",IF(HLOOKUP($A16,PROBAST!$A$6:$AE$77,25,)="Unclear","?",""))),"")</f>
        <v>+</v>
      </c>
      <c r="E16" s="152" t="str">
        <f>_xlfn.IFNA(IF(HLOOKUP($A16,PROBAST!$A$6:$AE$77,39,)="Low RoB","+",IF(HLOOKUP($A16,PROBAST!$A$6:$AE$77,39,)="High RoB","-",IF(HLOOKUP($A16,PROBAST!$A$6:$AE$77,39,)="Unclear","?",""))),"")</f>
        <v>+</v>
      </c>
      <c r="F16" s="153" t="str">
        <f>_xlfn.IFNA(IF(HLOOKUP($A16,PROBAST!$A$6:$AE$77,58,)="Low RoB","+",IF(HLOOKUP($A16,PROBAST!$A$6:$AE$77,58,)="High RoB","-",IF(HLOOKUP($A16,PROBAST!$A$6:$AE$77,58,)="Unclear","?",""))),"")</f>
        <v>+</v>
      </c>
      <c r="G16" s="154" t="str">
        <f>_xlfn.IFNA(IF(HLOOKUP($A16,PROBAST!$A$6:$AE$77,12,)="Low concern","+",IF(HLOOKUP($A16,PROBAST!$A$6:$AE$77,12,)="High concern","-",IF(HLOOKUP($A16,PROBAST!$A$6:$AE$77,12,)="Unclear","?",""))),"")</f>
        <v>+</v>
      </c>
      <c r="H16" s="152" t="str">
        <f>_xlfn.IFNA(IF(HLOOKUP($A16,PROBAST!$A$6:$AE$77,26,)="Low concern","+",IF(HLOOKUP($A16,PROBAST!$A$6:$AE$77,26,)="High concern","-",IF(HLOOKUP($A16,PROBAST!$A$6:$AE$77,26,)="Unclear","?",""))),"")</f>
        <v>+</v>
      </c>
      <c r="I16" s="153" t="str">
        <f>_xlfn.IFNA(IF(HLOOKUP($A16,PROBAST!$A$6:$AE$77,40,)="Low concern","+",IF(HLOOKUP($A16,PROBAST!$A$6:$AE$77,40,)="High concern","-",IF(HLOOKUP($A16,PROBAST!$A$6:$AE$77,40,)="Unclear","?",""))),"")</f>
        <v>+</v>
      </c>
      <c r="J16" s="155" t="str">
        <f t="shared" si="0"/>
        <v>+</v>
      </c>
      <c r="K16" s="156" t="str">
        <f t="shared" si="1"/>
        <v>+</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Brian Lane, 2022</v>
      </c>
      <c r="B17" s="188" t="str">
        <f>HLOOKUP($A17,CHARMS!$A$6:$CQ$89,1,)</f>
        <v>Brian Lane, 2022</v>
      </c>
      <c r="C17" s="151" t="str">
        <f>_xlfn.IFNA(IF(HLOOKUP($A17,PROBAST!$A$6:$AE$77,11,)="Low RoB","+",IF(HLOOKUP($A17,PROBAST!$A$6:$AE$77,11,)="High RoB","-",IF(HLOOKUP($A17,PROBAST!$A$6:$AE$77,11,)="Unclear","?",""))),"")</f>
        <v>-</v>
      </c>
      <c r="D17" s="152" t="str">
        <f>_xlfn.IFNA(IF(HLOOKUP($A17,PROBAST!$A$6:$AE$77,25,)="Low RoB","+",IF(HLOOKUP($A17,PROBAST!$A$6:$AE$77,25,)="High RoB","-",IF(HLOOKUP($A17,PROBAST!$A$6:$AE$77,25,)="Unclear","?",""))),"")</f>
        <v>-</v>
      </c>
      <c r="E17" s="152" t="str">
        <f>_xlfn.IFNA(IF(HLOOKUP($A17,PROBAST!$A$6:$AE$77,39,)="Low RoB","+",IF(HLOOKUP($A17,PROBAST!$A$6:$AE$77,39,)="High RoB","-",IF(HLOOKUP($A17,PROBAST!$A$6:$AE$77,39,)="Unclear","?",""))),"")</f>
        <v>+</v>
      </c>
      <c r="F17" s="153" t="str">
        <f>_xlfn.IFNA(IF(HLOOKUP($A17,PROBAST!$A$6:$AE$77,58,)="Low RoB","+",IF(HLOOKUP($A17,PROBAST!$A$6:$AE$77,58,)="High RoB","-",IF(HLOOKUP($A17,PROBAST!$A$6:$AE$77,58,)="Unclear","?",""))),"")</f>
        <v>?</v>
      </c>
      <c r="G17" s="154" t="str">
        <f>_xlfn.IFNA(IF(HLOOKUP($A17,PROBAST!$A$6:$AE$77,12,)="Low concern","+",IF(HLOOKUP($A17,PROBAST!$A$6:$AE$77,12,)="High concern","-",IF(HLOOKUP($A17,PROBAST!$A$6:$AE$77,12,)="Unclear","?",""))),"")</f>
        <v>+</v>
      </c>
      <c r="H17" s="152" t="str">
        <f>_xlfn.IFNA(IF(HLOOKUP($A17,PROBAST!$A$6:$AE$77,26,)="Low concern","+",IF(HLOOKUP($A17,PROBAST!$A$6:$AE$77,26,)="High concern","-",IF(HLOOKUP($A17,PROBAST!$A$6:$AE$77,26,)="Unclear","?",""))),"")</f>
        <v>+</v>
      </c>
      <c r="I17" s="153" t="str">
        <f>_xlfn.IFNA(IF(HLOOKUP($A17,PROBAST!$A$6:$AE$77,40,)="Low concern","+",IF(HLOOKUP($A17,PROBAST!$A$6:$AE$77,40,)="High concern","-",IF(HLOOKUP($A17,PROBAST!$A$6:$AE$77,40,)="Unclear","?",""))),"")</f>
        <v>-</v>
      </c>
      <c r="J17" s="155" t="str">
        <f t="shared" si="0"/>
        <v>-</v>
      </c>
      <c r="K17" s="156" t="str">
        <f t="shared" si="1"/>
        <v>-</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Ke Wang, 2022</v>
      </c>
      <c r="B18" s="188" t="str">
        <f>HLOOKUP($A18,CHARMS!$A$6:$CQ$89,1,)</f>
        <v>Ke Wang, 2022</v>
      </c>
      <c r="C18" s="151" t="str">
        <f>_xlfn.IFNA(IF(HLOOKUP($A18,PROBAST!$A$6:$AE$77,11,)="Low RoB","+",IF(HLOOKUP($A18,PROBAST!$A$6:$AE$77,11,)="High RoB","-",IF(HLOOKUP($A18,PROBAST!$A$6:$AE$77,11,)="Unclear","?",""))),"")</f>
        <v>+</v>
      </c>
      <c r="D18" s="152" t="str">
        <f>_xlfn.IFNA(IF(HLOOKUP($A18,PROBAST!$A$6:$AE$77,25,)="Low RoB","+",IF(HLOOKUP($A18,PROBAST!$A$6:$AE$77,25,)="High RoB","-",IF(HLOOKUP($A18,PROBAST!$A$6:$AE$77,25,)="Unclear","?",""))),"")</f>
        <v>?</v>
      </c>
      <c r="E18" s="152" t="str">
        <f>_xlfn.IFNA(IF(HLOOKUP($A18,PROBAST!$A$6:$AE$77,39,)="Low RoB","+",IF(HLOOKUP($A18,PROBAST!$A$6:$AE$77,39,)="High RoB","-",IF(HLOOKUP($A18,PROBAST!$A$6:$AE$77,39,)="Unclear","?",""))),"")</f>
        <v>+</v>
      </c>
      <c r="F18" s="153" t="str">
        <f>_xlfn.IFNA(IF(HLOOKUP($A18,PROBAST!$A$6:$AE$77,58,)="Low RoB","+",IF(HLOOKUP($A18,PROBAST!$A$6:$AE$77,58,)="High RoB","-",IF(HLOOKUP($A18,PROBAST!$A$6:$AE$77,58,)="Unclear","?",""))),"")</f>
        <v>+</v>
      </c>
      <c r="G18" s="154" t="str">
        <f>_xlfn.IFNA(IF(HLOOKUP($A18,PROBAST!$A$6:$AE$77,12,)="Low concern","+",IF(HLOOKUP($A18,PROBAST!$A$6:$AE$77,12,)="High concern","-",IF(HLOOKUP($A18,PROBAST!$A$6:$AE$77,12,)="Unclear","?",""))),"")</f>
        <v>+</v>
      </c>
      <c r="H18" s="152" t="str">
        <f>_xlfn.IFNA(IF(HLOOKUP($A18,PROBAST!$A$6:$AE$77,26,)="Low concern","+",IF(HLOOKUP($A18,PROBAST!$A$6:$AE$77,26,)="High concern","-",IF(HLOOKUP($A18,PROBAST!$A$6:$AE$77,26,)="Unclear","?",""))),"")</f>
        <v>+</v>
      </c>
      <c r="I18" s="153" t="str">
        <f>_xlfn.IFNA(IF(HLOOKUP($A18,PROBAST!$A$6:$AE$77,40,)="Low concern","+",IF(HLOOKUP($A18,PROBAST!$A$6:$AE$77,40,)="High concern","-",IF(HLOOKUP($A18,PROBAST!$A$6:$AE$77,40,)="Unclear","?",""))),"")</f>
        <v>+</v>
      </c>
      <c r="J18" s="155" t="str">
        <f t="shared" si="0"/>
        <v>?</v>
      </c>
      <c r="K18" s="156" t="str">
        <f t="shared" si="1"/>
        <v>+</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Xiong Tian, 2022</v>
      </c>
      <c r="B19" s="188" t="str">
        <f>HLOOKUP($A19,CHARMS!$A$6:$CQ$89,1,)</f>
        <v>Xiong Tian, 2022</v>
      </c>
      <c r="C19" s="151" t="str">
        <f>_xlfn.IFNA(IF(HLOOKUP($A19,PROBAST!$A$6:$AE$77,11,)="Low RoB","+",IF(HLOOKUP($A19,PROBAST!$A$6:$AE$77,11,)="High RoB","-",IF(HLOOKUP($A19,PROBAST!$A$6:$AE$77,11,)="Unclear","?",""))),"")</f>
        <v>+</v>
      </c>
      <c r="D19" s="152" t="str">
        <f>_xlfn.IFNA(IF(HLOOKUP($A19,PROBAST!$A$6:$AE$77,25,)="Low RoB","+",IF(HLOOKUP($A19,PROBAST!$A$6:$AE$77,25,)="High RoB","-",IF(HLOOKUP($A19,PROBAST!$A$6:$AE$77,25,)="Unclear","?",""))),"")</f>
        <v>+</v>
      </c>
      <c r="E19" s="152" t="str">
        <f>_xlfn.IFNA(IF(HLOOKUP($A19,PROBAST!$A$6:$AE$77,39,)="Low RoB","+",IF(HLOOKUP($A19,PROBAST!$A$6:$AE$77,39,)="High RoB","-",IF(HLOOKUP($A19,PROBAST!$A$6:$AE$77,39,)="Unclear","?",""))),"")</f>
        <v>+</v>
      </c>
      <c r="F19" s="153" t="str">
        <f>_xlfn.IFNA(IF(HLOOKUP($A19,PROBAST!$A$6:$AE$77,58,)="Low RoB","+",IF(HLOOKUP($A19,PROBAST!$A$6:$AE$77,58,)="High RoB","-",IF(HLOOKUP($A19,PROBAST!$A$6:$AE$77,58,)="Unclear","?",""))),"")</f>
        <v>+</v>
      </c>
      <c r="G19" s="154" t="str">
        <f>_xlfn.IFNA(IF(HLOOKUP($A19,PROBAST!$A$6:$AE$77,12,)="Low concern","+",IF(HLOOKUP($A19,PROBAST!$A$6:$AE$77,12,)="High concern","-",IF(HLOOKUP($A19,PROBAST!$A$6:$AE$77,12,)="Unclear","?",""))),"")</f>
        <v>+</v>
      </c>
      <c r="H19" s="152" t="str">
        <f>_xlfn.IFNA(IF(HLOOKUP($A19,PROBAST!$A$6:$AE$77,26,)="Low concern","+",IF(HLOOKUP($A19,PROBAST!$A$6:$AE$77,26,)="High concern","-",IF(HLOOKUP($A19,PROBAST!$A$6:$AE$77,26,)="Unclear","?",""))),"")</f>
        <v>-</v>
      </c>
      <c r="I19" s="153" t="str">
        <f>_xlfn.IFNA(IF(HLOOKUP($A19,PROBAST!$A$6:$AE$77,40,)="Low concern","+",IF(HLOOKUP($A19,PROBAST!$A$6:$AE$77,40,)="High concern","-",IF(HLOOKUP($A19,PROBAST!$A$6:$AE$77,40,)="Unclear","?",""))),"")</f>
        <v>+</v>
      </c>
      <c r="J19" s="155" t="str">
        <f t="shared" si="0"/>
        <v>+</v>
      </c>
      <c r="K19" s="156" t="str">
        <f t="shared" si="1"/>
        <v>-</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Dongjie Chen, 2021</v>
      </c>
      <c r="B20" s="188" t="str">
        <f>HLOOKUP($A20,CHARMS!$A$6:$CQ$89,1,)</f>
        <v>Dongjie Chen, 2021</v>
      </c>
      <c r="C20" s="151" t="str">
        <f>_xlfn.IFNA(IF(HLOOKUP($A20,PROBAST!$A$6:$AE$77,11,)="Low RoB","+",IF(HLOOKUP($A20,PROBAST!$A$6:$AE$77,11,)="High RoB","-",IF(HLOOKUP($A20,PROBAST!$A$6:$AE$77,11,)="Unclear","?",""))),"")</f>
        <v>+</v>
      </c>
      <c r="D20" s="152" t="str">
        <f>_xlfn.IFNA(IF(HLOOKUP($A20,PROBAST!$A$6:$AE$77,25,)="Low RoB","+",IF(HLOOKUP($A20,PROBAST!$A$6:$AE$77,25,)="High RoB","-",IF(HLOOKUP($A20,PROBAST!$A$6:$AE$77,25,)="Unclear","?",""))),"")</f>
        <v>+</v>
      </c>
      <c r="E20" s="152" t="str">
        <f>_xlfn.IFNA(IF(HLOOKUP($A20,PROBAST!$A$6:$AE$77,39,)="Low RoB","+",IF(HLOOKUP($A20,PROBAST!$A$6:$AE$77,39,)="High RoB","-",IF(HLOOKUP($A20,PROBAST!$A$6:$AE$77,39,)="Unclear","?",""))),"")</f>
        <v>+</v>
      </c>
      <c r="F20" s="153" t="str">
        <f>_xlfn.IFNA(IF(HLOOKUP($A20,PROBAST!$A$6:$AE$77,58,)="Low RoB","+",IF(HLOOKUP($A20,PROBAST!$A$6:$AE$77,58,)="High RoB","-",IF(HLOOKUP($A20,PROBAST!$A$6:$AE$77,58,)="Unclear","?",""))),"")</f>
        <v>+</v>
      </c>
      <c r="G20" s="154" t="str">
        <f>_xlfn.IFNA(IF(HLOOKUP($A20,PROBAST!$A$6:$AE$77,12,)="Low concern","+",IF(HLOOKUP($A20,PROBAST!$A$6:$AE$77,12,)="High concern","-",IF(HLOOKUP($A20,PROBAST!$A$6:$AE$77,12,)="Unclear","?",""))),"")</f>
        <v>+</v>
      </c>
      <c r="H20" s="152" t="str">
        <f>_xlfn.IFNA(IF(HLOOKUP($A20,PROBAST!$A$6:$AE$77,26,)="Low concern","+",IF(HLOOKUP($A20,PROBAST!$A$6:$AE$77,26,)="High concern","-",IF(HLOOKUP($A20,PROBAST!$A$6:$AE$77,26,)="Unclear","?",""))),"")</f>
        <v>+</v>
      </c>
      <c r="I20" s="153" t="str">
        <f>_xlfn.IFNA(IF(HLOOKUP($A20,PROBAST!$A$6:$AE$77,40,)="Low concern","+",IF(HLOOKUP($A20,PROBAST!$A$6:$AE$77,40,)="High concern","-",IF(HLOOKUP($A20,PROBAST!$A$6:$AE$77,40,)="Unclear","?",""))),"")</f>
        <v>-</v>
      </c>
      <c r="J20" s="155" t="str">
        <f t="shared" si="0"/>
        <v>+</v>
      </c>
      <c r="K20" s="156" t="str">
        <f t="shared" si="1"/>
        <v>-</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Yanhong Shou, 2021</v>
      </c>
      <c r="B21" s="188" t="str">
        <f>HLOOKUP($A21,CHARMS!$A$6:$CQ$89,1,)</f>
        <v>Yanhong Shou, 2021</v>
      </c>
      <c r="C21" s="151" t="str">
        <f>_xlfn.IFNA(IF(HLOOKUP($A21,PROBAST!$A$6:$AE$77,11,)="Low RoB","+",IF(HLOOKUP($A21,PROBAST!$A$6:$AE$77,11,)="High RoB","-",IF(HLOOKUP($A21,PROBAST!$A$6:$AE$77,11,)="Unclear","?",""))),"")</f>
        <v>+</v>
      </c>
      <c r="D21" s="152" t="str">
        <f>_xlfn.IFNA(IF(HLOOKUP($A21,PROBAST!$A$6:$AE$77,25,)="Low RoB","+",IF(HLOOKUP($A21,PROBAST!$A$6:$AE$77,25,)="High RoB","-",IF(HLOOKUP($A21,PROBAST!$A$6:$AE$77,25,)="Unclear","?",""))),"")</f>
        <v>+</v>
      </c>
      <c r="E21" s="152" t="str">
        <f>_xlfn.IFNA(IF(HLOOKUP($A21,PROBAST!$A$6:$AE$77,39,)="Low RoB","+",IF(HLOOKUP($A21,PROBAST!$A$6:$AE$77,39,)="High RoB","-",IF(HLOOKUP($A21,PROBAST!$A$6:$AE$77,39,)="Unclear","?",""))),"")</f>
        <v>+</v>
      </c>
      <c r="F21" s="153" t="str">
        <f>_xlfn.IFNA(IF(HLOOKUP($A21,PROBAST!$A$6:$AE$77,58,)="Low RoB","+",IF(HLOOKUP($A21,PROBAST!$A$6:$AE$77,58,)="High RoB","-",IF(HLOOKUP($A21,PROBAST!$A$6:$AE$77,58,)="Unclear","?",""))),"")</f>
        <v>+</v>
      </c>
      <c r="G21" s="154" t="str">
        <f>_xlfn.IFNA(IF(HLOOKUP($A21,PROBAST!$A$6:$AE$77,12,)="Low concern","+",IF(HLOOKUP($A21,PROBAST!$A$6:$AE$77,12,)="High concern","-",IF(HLOOKUP($A21,PROBAST!$A$6:$AE$77,12,)="Unclear","?",""))),"")</f>
        <v>+</v>
      </c>
      <c r="H21" s="152" t="str">
        <f>_xlfn.IFNA(IF(HLOOKUP($A21,PROBAST!$A$6:$AE$77,26,)="Low concern","+",IF(HLOOKUP($A21,PROBAST!$A$6:$AE$77,26,)="High concern","-",IF(HLOOKUP($A21,PROBAST!$A$6:$AE$77,26,)="Unclear","?",""))),"")</f>
        <v>+</v>
      </c>
      <c r="I21" s="153" t="str">
        <f>_xlfn.IFNA(IF(HLOOKUP($A21,PROBAST!$A$6:$AE$77,40,)="Low concern","+",IF(HLOOKUP($A21,PROBAST!$A$6:$AE$77,40,)="High concern","-",IF(HLOOKUP($A21,PROBAST!$A$6:$AE$77,40,)="Unclear","?",""))),"")</f>
        <v>+</v>
      </c>
      <c r="J21" s="155" t="str">
        <f t="shared" si="0"/>
        <v>+</v>
      </c>
      <c r="K21" s="156" t="str">
        <f t="shared" si="1"/>
        <v>+</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Xiangqian Zhang, 2023</v>
      </c>
      <c r="B22" s="188" t="str">
        <f>HLOOKUP($A22,CHARMS!$A$6:$CQ$89,1,)</f>
        <v>Xiangqian Zhang, 2023</v>
      </c>
      <c r="C22" s="151" t="str">
        <f>_xlfn.IFNA(IF(HLOOKUP($A22,PROBAST!$A$6:$AE$77,11,)="Low RoB","+",IF(HLOOKUP($A22,PROBAST!$A$6:$AE$77,11,)="High RoB","-",IF(HLOOKUP($A22,PROBAST!$A$6:$AE$77,11,)="Unclear","?",""))),"")</f>
        <v>-</v>
      </c>
      <c r="D22" s="152" t="str">
        <f>_xlfn.IFNA(IF(HLOOKUP($A22,PROBAST!$A$6:$AE$77,25,)="Low RoB","+",IF(HLOOKUP($A22,PROBAST!$A$6:$AE$77,25,)="High RoB","-",IF(HLOOKUP($A22,PROBAST!$A$6:$AE$77,25,)="Unclear","?",""))),"")</f>
        <v>+</v>
      </c>
      <c r="E22" s="152" t="str">
        <f>_xlfn.IFNA(IF(HLOOKUP($A22,PROBAST!$A$6:$AE$77,39,)="Low RoB","+",IF(HLOOKUP($A22,PROBAST!$A$6:$AE$77,39,)="High RoB","-",IF(HLOOKUP($A22,PROBAST!$A$6:$AE$77,39,)="Unclear","?",""))),"")</f>
        <v>+</v>
      </c>
      <c r="F22" s="153" t="str">
        <f>_xlfn.IFNA(IF(HLOOKUP($A22,PROBAST!$A$6:$AE$77,58,)="Low RoB","+",IF(HLOOKUP($A22,PROBAST!$A$6:$AE$77,58,)="High RoB","-",IF(HLOOKUP($A22,PROBAST!$A$6:$AE$77,58,)="Unclear","?",""))),"")</f>
        <v>+</v>
      </c>
      <c r="G22" s="154" t="str">
        <f>_xlfn.IFNA(IF(HLOOKUP($A22,PROBAST!$A$6:$AE$77,12,)="Low concern","+",IF(HLOOKUP($A22,PROBAST!$A$6:$AE$77,12,)="High concern","-",IF(HLOOKUP($A22,PROBAST!$A$6:$AE$77,12,)="Unclear","?",""))),"")</f>
        <v>+</v>
      </c>
      <c r="H22" s="152" t="str">
        <f>_xlfn.IFNA(IF(HLOOKUP($A22,PROBAST!$A$6:$AE$77,26,)="Low concern","+",IF(HLOOKUP($A22,PROBAST!$A$6:$AE$77,26,)="High concern","-",IF(HLOOKUP($A22,PROBAST!$A$6:$AE$77,26,)="Unclear","?",""))),"")</f>
        <v>+</v>
      </c>
      <c r="I22" s="153" t="str">
        <f>_xlfn.IFNA(IF(HLOOKUP($A22,PROBAST!$A$6:$AE$77,40,)="Low concern","+",IF(HLOOKUP($A22,PROBAST!$A$6:$AE$77,40,)="High concern","-",IF(HLOOKUP($A22,PROBAST!$A$6:$AE$77,40,)="Unclear","?",""))),"")</f>
        <v>+</v>
      </c>
      <c r="J22" s="155" t="str">
        <f t="shared" si="0"/>
        <v>-</v>
      </c>
      <c r="K22" s="156" t="str">
        <f t="shared" si="1"/>
        <v>+</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Chenyu Nie, 2022</v>
      </c>
      <c r="B23" s="188" t="str">
        <f>HLOOKUP($A23,CHARMS!$A$6:$CQ$89,1,)</f>
        <v>Chenyu Nie, 2022</v>
      </c>
      <c r="C23" s="151" t="str">
        <f>_xlfn.IFNA(IF(HLOOKUP($A23,PROBAST!$A$6:$AE$77,11,)="Low RoB","+",IF(HLOOKUP($A23,PROBAST!$A$6:$AE$77,11,)="High RoB","-",IF(HLOOKUP($A23,PROBAST!$A$6:$AE$77,11,)="Unclear","?",""))),"")</f>
        <v>+</v>
      </c>
      <c r="D23" s="152" t="str">
        <f>_xlfn.IFNA(IF(HLOOKUP($A23,PROBAST!$A$6:$AE$77,25,)="Low RoB","+",IF(HLOOKUP($A23,PROBAST!$A$6:$AE$77,25,)="High RoB","-",IF(HLOOKUP($A23,PROBAST!$A$6:$AE$77,25,)="Unclear","?",""))),"")</f>
        <v>+</v>
      </c>
      <c r="E23" s="152" t="str">
        <f>_xlfn.IFNA(IF(HLOOKUP($A23,PROBAST!$A$6:$AE$77,39,)="Low RoB","+",IF(HLOOKUP($A23,PROBAST!$A$6:$AE$77,39,)="High RoB","-",IF(HLOOKUP($A23,PROBAST!$A$6:$AE$77,39,)="Unclear","?",""))),"")</f>
        <v>+</v>
      </c>
      <c r="F23" s="153" t="str">
        <f>_xlfn.IFNA(IF(HLOOKUP($A23,PROBAST!$A$6:$AE$77,58,)="Low RoB","+",IF(HLOOKUP($A23,PROBAST!$A$6:$AE$77,58,)="High RoB","-",IF(HLOOKUP($A23,PROBAST!$A$6:$AE$77,58,)="Unclear","?",""))),"")</f>
        <v>+</v>
      </c>
      <c r="G23" s="154" t="str">
        <f>_xlfn.IFNA(IF(HLOOKUP($A23,PROBAST!$A$6:$AE$77,12,)="Low concern","+",IF(HLOOKUP($A23,PROBAST!$A$6:$AE$77,12,)="High concern","-",IF(HLOOKUP($A23,PROBAST!$A$6:$AE$77,12,)="Unclear","?",""))),"")</f>
        <v>-</v>
      </c>
      <c r="H23" s="152" t="str">
        <f>_xlfn.IFNA(IF(HLOOKUP($A23,PROBAST!$A$6:$AE$77,26,)="Low concern","+",IF(HLOOKUP($A23,PROBAST!$A$6:$AE$77,26,)="High concern","-",IF(HLOOKUP($A23,PROBAST!$A$6:$AE$77,26,)="Unclear","?",""))),"")</f>
        <v>+</v>
      </c>
      <c r="I23" s="153" t="str">
        <f>_xlfn.IFNA(IF(HLOOKUP($A23,PROBAST!$A$6:$AE$77,40,)="Low concern","+",IF(HLOOKUP($A23,PROBAST!$A$6:$AE$77,40,)="High concern","-",IF(HLOOKUP($A23,PROBAST!$A$6:$AE$77,40,)="Unclear","?",""))),"")</f>
        <v>+</v>
      </c>
      <c r="J23" s="155" t="str">
        <f t="shared" si="0"/>
        <v>+</v>
      </c>
      <c r="K23" s="156" t="str">
        <f t="shared" si="1"/>
        <v>-</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Jinman Zhong, 2021</v>
      </c>
      <c r="B24" s="188" t="str">
        <f>HLOOKUP($A24,CHARMS!$A$6:$CQ$89,1,)</f>
        <v>Jinman Zhong, 2021</v>
      </c>
      <c r="C24" s="151" t="str">
        <f>_xlfn.IFNA(IF(HLOOKUP($A24,PROBAST!$A$6:$AE$77,11,)="Low RoB","+",IF(HLOOKUP($A24,PROBAST!$A$6:$AE$77,11,)="High RoB","-",IF(HLOOKUP($A24,PROBAST!$A$6:$AE$77,11,)="Unclear","?",""))),"")</f>
        <v>-</v>
      </c>
      <c r="D24" s="152" t="str">
        <f>_xlfn.IFNA(IF(HLOOKUP($A24,PROBAST!$A$6:$AE$77,25,)="Low RoB","+",IF(HLOOKUP($A24,PROBAST!$A$6:$AE$77,25,)="High RoB","-",IF(HLOOKUP($A24,PROBAST!$A$6:$AE$77,25,)="Unclear","?",""))),"")</f>
        <v>+</v>
      </c>
      <c r="E24" s="152" t="str">
        <f>_xlfn.IFNA(IF(HLOOKUP($A24,PROBAST!$A$6:$AE$77,39,)="Low RoB","+",IF(HLOOKUP($A24,PROBAST!$A$6:$AE$77,39,)="High RoB","-",IF(HLOOKUP($A24,PROBAST!$A$6:$AE$77,39,)="Unclear","?",""))),"")</f>
        <v>+</v>
      </c>
      <c r="F24" s="153" t="str">
        <f>_xlfn.IFNA(IF(HLOOKUP($A24,PROBAST!$A$6:$AE$77,58,)="Low RoB","+",IF(HLOOKUP($A24,PROBAST!$A$6:$AE$77,58,)="High RoB","-",IF(HLOOKUP($A24,PROBAST!$A$6:$AE$77,58,)="Unclear","?",""))),"")</f>
        <v>+</v>
      </c>
      <c r="G24" s="154" t="str">
        <f>_xlfn.IFNA(IF(HLOOKUP($A24,PROBAST!$A$6:$AE$77,12,)="Low concern","+",IF(HLOOKUP($A24,PROBAST!$A$6:$AE$77,12,)="High concern","-",IF(HLOOKUP($A24,PROBAST!$A$6:$AE$77,12,)="Unclear","?",""))),"")</f>
        <v>+</v>
      </c>
      <c r="H24" s="152" t="str">
        <f>_xlfn.IFNA(IF(HLOOKUP($A24,PROBAST!$A$6:$AE$77,26,)="Low concern","+",IF(HLOOKUP($A24,PROBAST!$A$6:$AE$77,26,)="High concern","-",IF(HLOOKUP($A24,PROBAST!$A$6:$AE$77,26,)="Unclear","?",""))),"")</f>
        <v>+</v>
      </c>
      <c r="I24" s="153" t="str">
        <f>_xlfn.IFNA(IF(HLOOKUP($A24,PROBAST!$A$6:$AE$77,40,)="Low concern","+",IF(HLOOKUP($A24,PROBAST!$A$6:$AE$77,40,)="High concern","-",IF(HLOOKUP($A24,PROBAST!$A$6:$AE$77,40,)="Unclear","?",""))),"")</f>
        <v>+</v>
      </c>
      <c r="J24" s="155" t="str">
        <f t="shared" si="0"/>
        <v>-</v>
      </c>
      <c r="K24" s="156" t="str">
        <f t="shared" si="1"/>
        <v>+</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Xia Yang, 2021</v>
      </c>
      <c r="B25" s="188" t="str">
        <f>HLOOKUP($A25,CHARMS!$A$6:$CQ$89,1,)</f>
        <v>Xia Yang, 2021</v>
      </c>
      <c r="C25" s="151" t="str">
        <f>_xlfn.IFNA(IF(HLOOKUP($A25,PROBAST!$A$6:$AE$77,11,)="Low RoB","+",IF(HLOOKUP($A25,PROBAST!$A$6:$AE$77,11,)="High RoB","-",IF(HLOOKUP($A25,PROBAST!$A$6:$AE$77,11,)="Unclear","?",""))),"")</f>
        <v>+</v>
      </c>
      <c r="D25" s="152" t="str">
        <f>_xlfn.IFNA(IF(HLOOKUP($A25,PROBAST!$A$6:$AE$77,25,)="Low RoB","+",IF(HLOOKUP($A25,PROBAST!$A$6:$AE$77,25,)="High RoB","-",IF(HLOOKUP($A25,PROBAST!$A$6:$AE$77,25,)="Unclear","?",""))),"")</f>
        <v>-</v>
      </c>
      <c r="E25" s="152" t="str">
        <f>_xlfn.IFNA(IF(HLOOKUP($A25,PROBAST!$A$6:$AE$77,39,)="Low RoB","+",IF(HLOOKUP($A25,PROBAST!$A$6:$AE$77,39,)="High RoB","-",IF(HLOOKUP($A25,PROBAST!$A$6:$AE$77,39,)="Unclear","?",""))),"")</f>
        <v>+</v>
      </c>
      <c r="F25" s="153" t="str">
        <f>_xlfn.IFNA(IF(HLOOKUP($A25,PROBAST!$A$6:$AE$77,58,)="Low RoB","+",IF(HLOOKUP($A25,PROBAST!$A$6:$AE$77,58,)="High RoB","-",IF(HLOOKUP($A25,PROBAST!$A$6:$AE$77,58,)="Unclear","?",""))),"")</f>
        <v>+</v>
      </c>
      <c r="G25" s="154" t="str">
        <f>_xlfn.IFNA(IF(HLOOKUP($A25,PROBAST!$A$6:$AE$77,12,)="Low concern","+",IF(HLOOKUP($A25,PROBAST!$A$6:$AE$77,12,)="High concern","-",IF(HLOOKUP($A25,PROBAST!$A$6:$AE$77,12,)="Unclear","?",""))),"")</f>
        <v>+</v>
      </c>
      <c r="H25" s="152" t="str">
        <f>_xlfn.IFNA(IF(HLOOKUP($A25,PROBAST!$A$6:$AE$77,26,)="Low concern","+",IF(HLOOKUP($A25,PROBAST!$A$6:$AE$77,26,)="High concern","-",IF(HLOOKUP($A25,PROBAST!$A$6:$AE$77,26,)="Unclear","?",""))),"")</f>
        <v>+</v>
      </c>
      <c r="I25" s="153" t="str">
        <f>_xlfn.IFNA(IF(HLOOKUP($A25,PROBAST!$A$6:$AE$77,40,)="Low concern","+",IF(HLOOKUP($A25,PROBAST!$A$6:$AE$77,40,)="High concern","-",IF(HLOOKUP($A25,PROBAST!$A$6:$AE$77,40,)="Unclear","?",""))),"")</f>
        <v>+</v>
      </c>
      <c r="J25" s="155" t="str">
        <f t="shared" si="0"/>
        <v>-</v>
      </c>
      <c r="K25" s="156" t="str">
        <f t="shared" si="1"/>
        <v>+</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Zhi Liu (21) X7, 2021</v>
      </c>
      <c r="B26" s="188" t="str">
        <f>HLOOKUP($A26,CHARMS!$A$6:$CQ$89,1,)</f>
        <v>Zhi Liu (21) X7, 2021</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9"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2" x14ac:dyDescent="0.2">
      <c r="B36" s="164"/>
      <c r="C36" s="164"/>
      <c r="D36" s="164"/>
      <c r="E36" s="164"/>
      <c r="F36" s="164"/>
      <c r="G36" s="164"/>
      <c r="H36" s="164"/>
      <c r="I36" s="164"/>
      <c r="J36" s="164"/>
      <c r="K36" s="164"/>
    </row>
    <row r="37" spans="1:34" s="126" customFormat="1" ht="15" customHeight="1" x14ac:dyDescent="0.2">
      <c r="B37" s="164"/>
      <c r="C37" s="157">
        <f t="shared" ref="C37:J37" si="2">COUNTIF(C$6:C$35,"+")/SUM(COUNTIF(C$6:C$35,"+"),COUNTIF(C$6:C$35,"-"),30-COUNTIF(C$6:C$35,"")-SUM(COUNTIF(C$6:C$35,"+"),COUNTIF(C$6:C$35,"-")))</f>
        <v>0.65</v>
      </c>
      <c r="D37" s="157">
        <f t="shared" si="2"/>
        <v>0.8</v>
      </c>
      <c r="E37" s="157">
        <f t="shared" si="2"/>
        <v>0.9</v>
      </c>
      <c r="F37" s="157">
        <f t="shared" si="2"/>
        <v>0.7</v>
      </c>
      <c r="G37" s="157">
        <f t="shared" si="2"/>
        <v>0.85</v>
      </c>
      <c r="H37" s="157">
        <f t="shared" si="2"/>
        <v>0.85</v>
      </c>
      <c r="I37" s="157">
        <f t="shared" si="2"/>
        <v>0.8</v>
      </c>
      <c r="J37" s="157">
        <f t="shared" si="2"/>
        <v>0.45</v>
      </c>
      <c r="K37" s="157">
        <f>COUNTIF(K$6:K$35,"+")/SUM(COUNTIF(K$6:K$35,"+"),COUNTIF(K$6:K$35,"-"),30-COUNTIF(K$6:K$35,"")-SUM(COUNTIF(K$6:K$35,"+"),COUNTIF(K$6:K$35,"-")))</f>
        <v>0.6</v>
      </c>
    </row>
    <row r="38" spans="1:34" s="126" customFormat="1" ht="15" customHeight="1" x14ac:dyDescent="0.2">
      <c r="B38" s="164"/>
      <c r="C38" s="157">
        <f t="shared" ref="C38:J38" si="3">COUNTIF(C$6:C$35,"-")/SUM(COUNTIF(C$6:C$35,"+"),COUNTIF(C$6:C$35,"-"),30-COUNTIF(C$6:C$35,"")-SUM(COUNTIF(C$6:C$35,"+"),COUNTIF(C$6:C$35,"-")))</f>
        <v>0.3</v>
      </c>
      <c r="D38" s="157">
        <f t="shared" si="3"/>
        <v>0.1</v>
      </c>
      <c r="E38" s="157">
        <f t="shared" si="3"/>
        <v>0</v>
      </c>
      <c r="F38" s="157">
        <f t="shared" si="3"/>
        <v>0.1</v>
      </c>
      <c r="G38" s="157">
        <f t="shared" si="3"/>
        <v>0.1</v>
      </c>
      <c r="H38" s="157">
        <f t="shared" si="3"/>
        <v>0.05</v>
      </c>
      <c r="I38" s="157">
        <f t="shared" si="3"/>
        <v>0.15</v>
      </c>
      <c r="J38" s="157">
        <f t="shared" si="3"/>
        <v>0.4</v>
      </c>
      <c r="K38" s="157">
        <f>COUNTIF(K$6:K$35,"-")/SUM(COUNTIF(K$6:K$35,"+"),COUNTIF(K$6:K$35,"-"),30-COUNTIF(K$6:K$35,"")-SUM(COUNTIF(K$6:K$35,"+"),COUNTIF(K$6:K$35,"-")))</f>
        <v>0.3</v>
      </c>
    </row>
    <row r="39" spans="1:34" x14ac:dyDescent="0.25">
      <c r="B39" s="165"/>
      <c r="C39" s="157">
        <f t="shared" ref="C39:J39" si="4">1-C38-C37</f>
        <v>4.9999999999999933E-2</v>
      </c>
      <c r="D39" s="157">
        <f t="shared" si="4"/>
        <v>9.9999999999999978E-2</v>
      </c>
      <c r="E39" s="157">
        <f t="shared" si="4"/>
        <v>9.9999999999999978E-2</v>
      </c>
      <c r="F39" s="157">
        <f t="shared" si="4"/>
        <v>0.20000000000000007</v>
      </c>
      <c r="G39" s="157">
        <f t="shared" si="4"/>
        <v>5.0000000000000044E-2</v>
      </c>
      <c r="H39" s="157">
        <f t="shared" si="4"/>
        <v>9.9999999999999978E-2</v>
      </c>
      <c r="I39" s="157">
        <f t="shared" si="4"/>
        <v>4.9999999999999933E-2</v>
      </c>
      <c r="J39" s="157">
        <f t="shared" si="4"/>
        <v>0.14999999999999997</v>
      </c>
      <c r="K39" s="157">
        <f>1-K38-K37</f>
        <v>9.9999999999999978E-2</v>
      </c>
    </row>
    <row r="40" spans="1:34" x14ac:dyDescent="0.25">
      <c r="B40" s="165"/>
      <c r="C40" s="165"/>
      <c r="D40" s="165"/>
      <c r="E40" s="165"/>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B6:B35">
    <cfRule type="cellIs" dxfId="6" priority="3" operator="equal">
      <formula>0</formula>
    </cfRule>
  </conditionalFormatting>
  <conditionalFormatting sqref="B6:K35">
    <cfRule type="expression" dxfId="5" priority="1">
      <formula>$A6&lt;&gt;""</formula>
    </cfRule>
    <cfRule type="expression" dxfId="4" priority="2">
      <formula>$A6=""</formula>
    </cfRule>
  </conditionalFormatting>
  <conditionalFormatting sqref="C6:K35">
    <cfRule type="cellIs" dxfId="3" priority="4" operator="equal">
      <formula>"?"</formula>
    </cfRule>
    <cfRule type="cellIs" dxfId="2" priority="5" operator="equal">
      <formula>"+"</formula>
    </cfRule>
    <cfRule type="cellIs" dxfId="1" priority="6" operator="equal">
      <formula>"-"</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election activeCell="A4" sqref="A4:K4"/>
    </sheetView>
  </sheetViews>
  <sheetFormatPr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406</v>
      </c>
      <c r="B1" s="181"/>
    </row>
    <row r="2" spans="1:11" ht="15.75" customHeight="1" x14ac:dyDescent="0.25"/>
    <row r="3" spans="1:11" ht="15.75" customHeight="1" x14ac:dyDescent="0.25">
      <c r="A3" s="178" t="s">
        <v>371</v>
      </c>
      <c r="B3" s="178"/>
      <c r="C3" s="178"/>
      <c r="D3" s="178"/>
      <c r="E3" s="178"/>
      <c r="F3" s="178"/>
      <c r="G3" s="178"/>
      <c r="H3" s="178"/>
      <c r="I3" s="178"/>
      <c r="J3" s="178"/>
      <c r="K3" s="178"/>
    </row>
    <row r="4" spans="1:11" ht="47.25" customHeight="1" x14ac:dyDescent="0.25">
      <c r="A4" s="180" t="s">
        <v>42</v>
      </c>
      <c r="B4" s="180" t="s">
        <v>372</v>
      </c>
      <c r="C4" s="180" t="s">
        <v>137</v>
      </c>
      <c r="D4" s="180" t="s">
        <v>167</v>
      </c>
      <c r="E4" s="180" t="s">
        <v>170</v>
      </c>
      <c r="F4" s="180" t="s">
        <v>373</v>
      </c>
      <c r="G4" s="180" t="s">
        <v>177</v>
      </c>
      <c r="H4" s="180" t="s">
        <v>224</v>
      </c>
      <c r="I4" s="180" t="s">
        <v>228</v>
      </c>
      <c r="J4" s="180" t="s">
        <v>234</v>
      </c>
      <c r="K4" s="180" t="s">
        <v>238</v>
      </c>
    </row>
    <row r="5" spans="1:11" ht="15.75" customHeight="1" x14ac:dyDescent="0.25">
      <c r="A5" s="179" t="s">
        <v>374</v>
      </c>
      <c r="B5" s="179" t="s">
        <v>375</v>
      </c>
      <c r="C5" s="179" t="s">
        <v>138</v>
      </c>
      <c r="D5" s="179" t="s">
        <v>168</v>
      </c>
      <c r="E5" s="179" t="s">
        <v>172</v>
      </c>
      <c r="F5" s="179" t="s">
        <v>376</v>
      </c>
      <c r="G5" s="179" t="s">
        <v>377</v>
      </c>
      <c r="H5" s="179" t="s">
        <v>226</v>
      </c>
      <c r="I5" s="179" t="s">
        <v>229</v>
      </c>
      <c r="J5" s="179" t="s">
        <v>229</v>
      </c>
      <c r="K5" s="179" t="s">
        <v>229</v>
      </c>
    </row>
    <row r="6" spans="1:11" ht="15.75" customHeight="1" x14ac:dyDescent="0.25">
      <c r="A6" s="179" t="s">
        <v>44</v>
      </c>
      <c r="B6" s="179" t="s">
        <v>98</v>
      </c>
      <c r="C6" s="179" t="s">
        <v>378</v>
      </c>
      <c r="D6" s="179" t="s">
        <v>379</v>
      </c>
      <c r="E6" s="179" t="s">
        <v>380</v>
      </c>
      <c r="F6" s="179" t="s">
        <v>176</v>
      </c>
      <c r="G6" s="179" t="s">
        <v>179</v>
      </c>
      <c r="H6" s="179" t="s">
        <v>225</v>
      </c>
      <c r="I6" s="179" t="s">
        <v>381</v>
      </c>
      <c r="J6" s="179" t="s">
        <v>236</v>
      </c>
      <c r="K6" s="179" t="s">
        <v>382</v>
      </c>
    </row>
    <row r="7" spans="1:11" ht="15.75" customHeight="1" x14ac:dyDescent="0.25">
      <c r="A7" s="179" t="s">
        <v>383</v>
      </c>
      <c r="B7" s="179" t="s">
        <v>384</v>
      </c>
      <c r="C7" s="179" t="s">
        <v>74</v>
      </c>
      <c r="D7" s="179" t="s">
        <v>385</v>
      </c>
      <c r="E7" s="179" t="s">
        <v>386</v>
      </c>
      <c r="F7" s="179" t="s">
        <v>174</v>
      </c>
      <c r="G7" s="179" t="s">
        <v>387</v>
      </c>
      <c r="H7" s="179" t="s">
        <v>388</v>
      </c>
      <c r="I7" s="179" t="s">
        <v>230</v>
      </c>
      <c r="J7" s="179" t="s">
        <v>235</v>
      </c>
      <c r="K7" s="179" t="s">
        <v>240</v>
      </c>
    </row>
    <row r="8" spans="1:11" ht="15.75" customHeight="1" x14ac:dyDescent="0.25">
      <c r="A8" s="179" t="s">
        <v>389</v>
      </c>
      <c r="B8" s="179" t="s">
        <v>96</v>
      </c>
      <c r="C8" s="179" t="s">
        <v>52</v>
      </c>
      <c r="D8" s="179" t="s">
        <v>117</v>
      </c>
      <c r="E8" s="179" t="s">
        <v>390</v>
      </c>
      <c r="F8" s="179" t="s">
        <v>117</v>
      </c>
      <c r="G8" s="179" t="s">
        <v>178</v>
      </c>
      <c r="H8" s="179" t="s">
        <v>391</v>
      </c>
      <c r="I8" s="179" t="s">
        <v>392</v>
      </c>
      <c r="J8" s="179" t="s">
        <v>74</v>
      </c>
      <c r="K8" s="179" t="s">
        <v>393</v>
      </c>
    </row>
    <row r="9" spans="1:11" ht="15.75" customHeight="1" x14ac:dyDescent="0.25">
      <c r="A9" s="179" t="s">
        <v>43</v>
      </c>
      <c r="B9" s="179" t="s">
        <v>394</v>
      </c>
      <c r="C9" s="182" t="s">
        <v>395</v>
      </c>
      <c r="D9" s="182" t="s">
        <v>74</v>
      </c>
      <c r="E9" s="182" t="s">
        <v>396</v>
      </c>
      <c r="F9" s="182" t="s">
        <v>74</v>
      </c>
      <c r="G9" s="182" t="s">
        <v>397</v>
      </c>
      <c r="H9" s="179" t="s">
        <v>227</v>
      </c>
      <c r="I9" s="179" t="s">
        <v>398</v>
      </c>
      <c r="J9" s="179" t="s">
        <v>52</v>
      </c>
      <c r="K9" s="179" t="s">
        <v>239</v>
      </c>
    </row>
    <row r="10" spans="1:11" ht="15.75" customHeight="1" x14ac:dyDescent="0.25">
      <c r="A10" s="179" t="s">
        <v>399</v>
      </c>
      <c r="B10" s="179" t="s">
        <v>108</v>
      </c>
      <c r="C10" s="182" t="s">
        <v>395</v>
      </c>
      <c r="D10" s="182" t="s">
        <v>52</v>
      </c>
      <c r="E10" s="182" t="s">
        <v>117</v>
      </c>
      <c r="F10" s="182" t="s">
        <v>52</v>
      </c>
      <c r="G10" s="182" t="s">
        <v>400</v>
      </c>
      <c r="H10" s="179" t="s">
        <v>117</v>
      </c>
      <c r="I10" s="179" t="s">
        <v>401</v>
      </c>
      <c r="J10" s="182" t="s">
        <v>395</v>
      </c>
      <c r="K10" s="179" t="s">
        <v>402</v>
      </c>
    </row>
    <row r="11" spans="1:11" ht="15.75" customHeight="1" x14ac:dyDescent="0.25">
      <c r="A11" s="179" t="s">
        <v>403</v>
      </c>
      <c r="B11" s="179" t="s">
        <v>117</v>
      </c>
      <c r="C11" s="182" t="s">
        <v>395</v>
      </c>
      <c r="D11" s="182" t="s">
        <v>395</v>
      </c>
      <c r="E11" s="182" t="s">
        <v>74</v>
      </c>
      <c r="F11" s="182" t="s">
        <v>175</v>
      </c>
      <c r="G11" s="182" t="s">
        <v>180</v>
      </c>
      <c r="H11" s="179" t="s">
        <v>74</v>
      </c>
      <c r="I11" s="179" t="s">
        <v>117</v>
      </c>
      <c r="J11" s="182" t="s">
        <v>395</v>
      </c>
      <c r="K11" s="179" t="s">
        <v>404</v>
      </c>
    </row>
    <row r="12" spans="1:11" ht="15.75" customHeight="1" x14ac:dyDescent="0.25">
      <c r="A12" s="179" t="s">
        <v>405</v>
      </c>
      <c r="B12" s="179" t="s">
        <v>74</v>
      </c>
      <c r="C12" s="182" t="s">
        <v>395</v>
      </c>
      <c r="D12" s="182" t="s">
        <v>395</v>
      </c>
      <c r="E12" s="182" t="s">
        <v>52</v>
      </c>
      <c r="F12" s="182" t="s">
        <v>395</v>
      </c>
      <c r="G12" s="179" t="s">
        <v>117</v>
      </c>
      <c r="H12" s="179" t="s">
        <v>52</v>
      </c>
      <c r="I12" s="179" t="s">
        <v>74</v>
      </c>
      <c r="J12" s="182" t="s">
        <v>395</v>
      </c>
      <c r="K12" s="179" t="s">
        <v>117</v>
      </c>
    </row>
    <row r="13" spans="1:11" ht="15.75" customHeight="1" x14ac:dyDescent="0.25">
      <c r="A13" s="179" t="s">
        <v>117</v>
      </c>
      <c r="B13" s="179" t="s">
        <v>52</v>
      </c>
      <c r="C13" s="182" t="s">
        <v>395</v>
      </c>
      <c r="D13" s="182" t="s">
        <v>395</v>
      </c>
      <c r="E13" s="182" t="s">
        <v>171</v>
      </c>
      <c r="F13" s="182" t="s">
        <v>395</v>
      </c>
      <c r="G13" s="182" t="s">
        <v>74</v>
      </c>
      <c r="H13" s="182" t="s">
        <v>395</v>
      </c>
      <c r="I13" s="179" t="s">
        <v>52</v>
      </c>
      <c r="J13" s="182" t="s">
        <v>395</v>
      </c>
      <c r="K13" s="179" t="s">
        <v>74</v>
      </c>
    </row>
    <row r="14" spans="1:11" ht="15.75" customHeight="1" x14ac:dyDescent="0.25">
      <c r="A14" s="179" t="s">
        <v>74</v>
      </c>
      <c r="B14" s="182" t="s">
        <v>395</v>
      </c>
      <c r="C14" s="2"/>
      <c r="D14" s="182" t="s">
        <v>395</v>
      </c>
      <c r="E14" s="182" t="s">
        <v>395</v>
      </c>
      <c r="F14" s="182" t="s">
        <v>395</v>
      </c>
      <c r="G14" s="182" t="s">
        <v>52</v>
      </c>
      <c r="H14" s="182" t="s">
        <v>395</v>
      </c>
      <c r="I14" s="182" t="s">
        <v>395</v>
      </c>
      <c r="J14" s="182" t="s">
        <v>395</v>
      </c>
      <c r="K14" s="179" t="s">
        <v>52</v>
      </c>
    </row>
    <row r="15" spans="1:11" ht="15.75" customHeight="1" x14ac:dyDescent="0.25">
      <c r="A15" s="179" t="s">
        <v>52</v>
      </c>
      <c r="B15" s="182" t="s">
        <v>395</v>
      </c>
      <c r="C15" s="2"/>
      <c r="D15" s="182" t="s">
        <v>395</v>
      </c>
      <c r="E15" s="182" t="s">
        <v>395</v>
      </c>
      <c r="F15" s="182" t="s">
        <v>395</v>
      </c>
      <c r="G15" s="182" t="s">
        <v>395</v>
      </c>
      <c r="H15" s="182" t="s">
        <v>395</v>
      </c>
      <c r="I15" s="182" t="s">
        <v>395</v>
      </c>
      <c r="J15" s="2"/>
      <c r="K15" s="182" t="s">
        <v>395</v>
      </c>
    </row>
    <row r="16" spans="1:11" ht="15.75" customHeight="1" x14ac:dyDescent="0.25">
      <c r="A16" s="182" t="s">
        <v>395</v>
      </c>
      <c r="B16" s="182" t="s">
        <v>395</v>
      </c>
      <c r="C16" s="2"/>
      <c r="D16" s="2"/>
      <c r="E16" s="182" t="s">
        <v>395</v>
      </c>
      <c r="F16" s="2"/>
      <c r="G16" s="182" t="s">
        <v>395</v>
      </c>
      <c r="H16" s="182" t="s">
        <v>395</v>
      </c>
      <c r="I16" s="182" t="s">
        <v>395</v>
      </c>
      <c r="J16" s="2"/>
      <c r="K16" s="182" t="s">
        <v>395</v>
      </c>
    </row>
    <row r="17" spans="1:11" ht="15.75" customHeight="1" x14ac:dyDescent="0.25">
      <c r="A17" s="182" t="s">
        <v>395</v>
      </c>
      <c r="B17" s="182" t="s">
        <v>395</v>
      </c>
      <c r="C17" s="2"/>
      <c r="D17" s="2"/>
      <c r="E17" s="182" t="s">
        <v>395</v>
      </c>
      <c r="F17" s="2"/>
      <c r="G17" s="182" t="s">
        <v>395</v>
      </c>
      <c r="H17" s="182" t="s">
        <v>395</v>
      </c>
      <c r="I17" s="182" t="s">
        <v>395</v>
      </c>
      <c r="J17" s="2"/>
      <c r="K17" s="182" t="s">
        <v>395</v>
      </c>
    </row>
    <row r="18" spans="1:11" ht="15.75" customHeight="1" x14ac:dyDescent="0.25">
      <c r="A18" s="182" t="s">
        <v>395</v>
      </c>
      <c r="B18" s="182" t="s">
        <v>395</v>
      </c>
      <c r="C18" s="2"/>
      <c r="D18" s="2"/>
      <c r="E18" s="2"/>
      <c r="F18" s="2"/>
      <c r="G18" s="182" t="s">
        <v>395</v>
      </c>
      <c r="H18" s="2"/>
      <c r="I18" s="182" t="s">
        <v>395</v>
      </c>
      <c r="J18" s="2"/>
      <c r="K18" s="182" t="s">
        <v>395</v>
      </c>
    </row>
    <row r="19" spans="1:11" ht="15.75" customHeight="1" x14ac:dyDescent="0.25">
      <c r="A19" s="182" t="s">
        <v>395</v>
      </c>
      <c r="B19" s="183"/>
      <c r="C19" s="2"/>
      <c r="D19" s="2"/>
      <c r="E19" s="2"/>
      <c r="F19" s="2"/>
      <c r="G19" s="182" t="s">
        <v>395</v>
      </c>
      <c r="H19" s="2"/>
      <c r="I19" s="2"/>
      <c r="J19" s="2"/>
      <c r="K19" s="182" t="s">
        <v>395</v>
      </c>
    </row>
    <row r="20" spans="1:11" ht="15.75" customHeight="1" x14ac:dyDescent="0.25">
      <c r="A20" s="182" t="s">
        <v>395</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0"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9A5D6B-EC2E-4F49-BA55-D4DCBE319A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C75C99-1C92-4261-9CD0-BA06D6BB2C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SUMMARY</vt:lpstr>
      <vt:lpstr>Sheet1</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Hu, Jucheng</cp:lastModifiedBy>
  <cp:revision/>
  <dcterms:created xsi:type="dcterms:W3CDTF">2019-06-28T08:05:43Z</dcterms:created>
  <dcterms:modified xsi:type="dcterms:W3CDTF">2024-01-15T02:07:23Z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