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 yWindow="4848" windowWidth="15480" windowHeight="4896" firstSheet="34" activeTab="40"/>
  </bookViews>
  <sheets>
    <sheet name="Error Histogram Sheet" sheetId="11" r:id="rId1"/>
    <sheet name="Error Chart" sheetId="7" r:id="rId2"/>
    <sheet name="19941218" sheetId="23" r:id="rId3"/>
    <sheet name="20070702" sheetId="9" r:id="rId4"/>
    <sheet name="20070919" sheetId="12" r:id="rId5"/>
    <sheet name="20071223" sheetId="25" r:id="rId6"/>
    <sheet name="20080219" sheetId="4" r:id="rId7"/>
    <sheet name="20080219 Scale Residuals" sheetId="5" r:id="rId8"/>
    <sheet name="20080219 Rotation Residuals" sheetId="6" r:id="rId9"/>
    <sheet name="20080414" sheetId="8" r:id="rId10"/>
    <sheet name="20080414 Re-Analysis" sheetId="18" r:id="rId11"/>
    <sheet name="20080715" sheetId="15" r:id="rId12"/>
    <sheet name="20080715 Re-Analysis" sheetId="16" r:id="rId13"/>
    <sheet name="20080818" sheetId="14" r:id="rId14"/>
    <sheet name="20080818 Re-Analysis" sheetId="17" r:id="rId15"/>
    <sheet name="20080915" sheetId="20" r:id="rId16"/>
    <sheet name="20080916" sheetId="19" r:id="rId17"/>
    <sheet name="20090129" sheetId="21" r:id="rId18"/>
    <sheet name="20090130" sheetId="22" r:id="rId19"/>
    <sheet name="20090314" sheetId="24" r:id="rId20"/>
    <sheet name="20090429" sheetId="26" r:id="rId21"/>
    <sheet name="20090707" sheetId="27" r:id="rId22"/>
    <sheet name="20090903" sheetId="28" r:id="rId23"/>
    <sheet name="20100111" sheetId="29" r:id="rId24"/>
    <sheet name="20100130" sheetId="30" r:id="rId25"/>
    <sheet name="20100301" sheetId="31" r:id="rId26"/>
    <sheet name="20100315" sheetId="32" r:id="rId27"/>
    <sheet name="20100424" sheetId="34" r:id="rId28"/>
    <sheet name="20100726" sheetId="33" r:id="rId29"/>
    <sheet name="20110129UT" sheetId="35" r:id="rId30"/>
    <sheet name="20110608UT" sheetId="36" r:id="rId31"/>
    <sheet name="20110814UT" sheetId="37" r:id="rId32"/>
    <sheet name="20120310UT" sheetId="38" r:id="rId33"/>
    <sheet name="20120405UT" sheetId="39" r:id="rId34"/>
    <sheet name="20130105" sheetId="40" r:id="rId35"/>
    <sheet name="20130305" sheetId="41" r:id="rId36"/>
    <sheet name="20130306" sheetId="43" r:id="rId37"/>
    <sheet name="20130331" sheetId="42" r:id="rId38"/>
    <sheet name="20130716" sheetId="44" r:id="rId39"/>
    <sheet name="20131023" sheetId="45" r:id="rId40"/>
    <sheet name="20131026" sheetId="46" r:id="rId41"/>
  </sheets>
  <calcPr calcId="145621"/>
</workbook>
</file>

<file path=xl/calcChain.xml><?xml version="1.0" encoding="utf-8"?>
<calcChain xmlns="http://schemas.openxmlformats.org/spreadsheetml/2006/main">
  <c r="U16" i="46" l="1"/>
  <c r="AA24" i="46"/>
  <c r="AA9" i="46"/>
  <c r="AA8" i="46"/>
  <c r="AA7" i="46"/>
  <c r="Z7" i="46"/>
  <c r="AE16" i="46"/>
  <c r="AD18" i="46"/>
  <c r="AC16" i="46"/>
  <c r="AC18" i="46" s="1"/>
  <c r="AE6" i="46"/>
  <c r="AD6" i="46"/>
  <c r="AD7" i="46" s="1"/>
  <c r="AC6" i="46"/>
  <c r="AB6" i="46"/>
  <c r="AB7" i="46" s="1"/>
  <c r="AA27" i="46"/>
  <c r="AA18" i="46"/>
  <c r="Z18" i="46"/>
  <c r="AA6" i="46"/>
  <c r="Z6" i="46"/>
  <c r="AE9" i="46" l="1"/>
  <c r="AE24" i="46" s="1"/>
  <c r="AE33" i="46" s="1"/>
  <c r="AC9" i="46"/>
  <c r="AC24" i="46" s="1"/>
  <c r="AC33" i="46" s="1"/>
  <c r="AE27" i="46"/>
  <c r="AC7" i="46"/>
  <c r="AC8" i="46" s="1"/>
  <c r="AE18" i="46"/>
  <c r="AB18" i="46"/>
  <c r="AC27" i="46"/>
  <c r="AE7" i="46"/>
  <c r="AE8" i="46" s="1"/>
  <c r="AA21" i="46"/>
  <c r="AA33" i="46"/>
  <c r="AE42" i="46" l="1"/>
  <c r="AE43" i="46" s="1"/>
  <c r="AD45" i="46" s="1"/>
  <c r="AC42" i="46"/>
  <c r="AC43" i="46" s="1"/>
  <c r="AB44" i="46" s="1"/>
  <c r="AE21" i="46"/>
  <c r="AC21" i="46"/>
  <c r="AB45" i="46"/>
  <c r="AE31" i="46"/>
  <c r="AC31" i="46"/>
  <c r="AD44" i="46"/>
  <c r="AA31" i="46"/>
  <c r="AA28" i="46"/>
  <c r="AC28" i="46" l="1"/>
  <c r="AE28" i="46"/>
  <c r="Y27" i="46" l="1"/>
  <c r="Y18" i="46"/>
  <c r="X18" i="46"/>
  <c r="Y6" i="46"/>
  <c r="Y7" i="46" s="1"/>
  <c r="X6" i="46"/>
  <c r="X7" i="46" s="1"/>
  <c r="Y8" i="46" l="1"/>
  <c r="Y21" i="46" s="1"/>
  <c r="Y9" i="46"/>
  <c r="Y24" i="46" s="1"/>
  <c r="Y31" i="46" l="1"/>
  <c r="Y33" i="46"/>
  <c r="Y28" i="46"/>
  <c r="W27" i="46" l="1"/>
  <c r="W18" i="46"/>
  <c r="V18" i="46"/>
  <c r="W6" i="46"/>
  <c r="W7" i="46" s="1"/>
  <c r="V6" i="46"/>
  <c r="V7" i="46" s="1"/>
  <c r="W8" i="46" l="1"/>
  <c r="W21" i="46" s="1"/>
  <c r="W9" i="46"/>
  <c r="W24" i="46" s="1"/>
  <c r="W31" i="46" l="1"/>
  <c r="W28" i="46"/>
  <c r="U27" i="46"/>
  <c r="S27" i="46"/>
  <c r="S18" i="46"/>
  <c r="R18" i="46"/>
  <c r="U6" i="46"/>
  <c r="T6" i="46"/>
  <c r="T7" i="46" s="1"/>
  <c r="S6" i="46"/>
  <c r="S7" i="46" s="1"/>
  <c r="R6" i="46"/>
  <c r="R7" i="46" s="1"/>
  <c r="T18" i="46" l="1"/>
  <c r="U18" i="46"/>
  <c r="U9" i="46"/>
  <c r="U24" i="46" s="1"/>
  <c r="S8" i="46"/>
  <c r="S21" i="46" s="1"/>
  <c r="S9" i="46"/>
  <c r="U7" i="46"/>
  <c r="U8" i="46" s="1"/>
  <c r="S24" i="46" l="1"/>
  <c r="U21" i="46"/>
  <c r="U31" i="46"/>
  <c r="O32" i="46" s="1"/>
  <c r="S28" i="46"/>
  <c r="B59" i="44"/>
  <c r="Q16" i="46"/>
  <c r="P18" i="46" s="1"/>
  <c r="Q6" i="46"/>
  <c r="Q7" i="46" s="1"/>
  <c r="P6" i="46"/>
  <c r="P7" i="46" s="1"/>
  <c r="AA42" i="46" l="1"/>
  <c r="AA43" i="46" s="1"/>
  <c r="W42" i="46"/>
  <c r="Y42" i="46"/>
  <c r="Y43" i="46" s="1"/>
  <c r="Q18" i="46"/>
  <c r="Q27" i="46"/>
  <c r="S31" i="46"/>
  <c r="U28" i="46"/>
  <c r="C29" i="46" s="1"/>
  <c r="Q8" i="46"/>
  <c r="Q21" i="46" s="1"/>
  <c r="Q9" i="46"/>
  <c r="Q24" i="46" s="1"/>
  <c r="AA30" i="46" l="1"/>
  <c r="AC30" i="46"/>
  <c r="AC36" i="46"/>
  <c r="AA36" i="46"/>
  <c r="AE36" i="46"/>
  <c r="AE30" i="46"/>
  <c r="Y36" i="46"/>
  <c r="Y30" i="46"/>
  <c r="X44" i="46"/>
  <c r="X45" i="46"/>
  <c r="Z44" i="46"/>
  <c r="Z45" i="46"/>
  <c r="Q28" i="46"/>
  <c r="Q31" i="46"/>
  <c r="AA37" i="46" l="1"/>
  <c r="Z47" i="46"/>
  <c r="Z48" i="46" s="1"/>
  <c r="Z49" i="46" s="1"/>
  <c r="AA47" i="46"/>
  <c r="AA48" i="46" s="1"/>
  <c r="AA49" i="46" s="1"/>
  <c r="Y37" i="46"/>
  <c r="Y47" i="46"/>
  <c r="Y48" i="46" s="1"/>
  <c r="Y49" i="46" s="1"/>
  <c r="X47" i="46"/>
  <c r="X48" i="46" s="1"/>
  <c r="X49" i="46" s="1"/>
  <c r="Y50" i="46" s="1"/>
  <c r="AC47" i="46"/>
  <c r="AC48" i="46" s="1"/>
  <c r="AC49" i="46" s="1"/>
  <c r="AB47" i="46"/>
  <c r="AB48" i="46" s="1"/>
  <c r="AB49" i="46" s="1"/>
  <c r="AC37" i="46"/>
  <c r="AE37" i="46"/>
  <c r="AE47" i="46"/>
  <c r="AE48" i="46" s="1"/>
  <c r="AE49" i="46" s="1"/>
  <c r="AD47" i="46"/>
  <c r="AD48" i="46" s="1"/>
  <c r="AD49" i="46" s="1"/>
  <c r="O27" i="46"/>
  <c r="M27" i="46"/>
  <c r="O18" i="46"/>
  <c r="N18" i="46"/>
  <c r="M18" i="46"/>
  <c r="L18" i="46"/>
  <c r="O6" i="46"/>
  <c r="N6" i="46"/>
  <c r="N7" i="46" s="1"/>
  <c r="M6" i="46"/>
  <c r="M7" i="46" s="1"/>
  <c r="L6" i="46"/>
  <c r="L7" i="46" s="1"/>
  <c r="AE50" i="46" l="1"/>
  <c r="AC50" i="46"/>
  <c r="X40" i="46"/>
  <c r="X39" i="46"/>
  <c r="Y38" i="46"/>
  <c r="AD40" i="46"/>
  <c r="AD39" i="46"/>
  <c r="AE38" i="46"/>
  <c r="X54" i="46"/>
  <c r="Y51" i="46"/>
  <c r="X55" i="46"/>
  <c r="X53" i="46"/>
  <c r="AA50" i="46"/>
  <c r="AB39" i="46"/>
  <c r="AC38" i="46"/>
  <c r="AB40" i="46"/>
  <c r="AA38" i="46"/>
  <c r="Z40" i="46"/>
  <c r="Z39" i="46"/>
  <c r="M8" i="46"/>
  <c r="M21" i="46" s="1"/>
  <c r="O9" i="46"/>
  <c r="M9" i="46"/>
  <c r="O7" i="46"/>
  <c r="O8" i="46" s="1"/>
  <c r="K16" i="46"/>
  <c r="I27" i="46"/>
  <c r="G27" i="46"/>
  <c r="I18" i="46"/>
  <c r="H18" i="46"/>
  <c r="G18" i="46"/>
  <c r="F18" i="46"/>
  <c r="I7" i="46"/>
  <c r="K6" i="46"/>
  <c r="K7" i="46" s="1"/>
  <c r="J6" i="46"/>
  <c r="J7" i="46" s="1"/>
  <c r="K8" i="46" s="1"/>
  <c r="I6" i="46"/>
  <c r="H6" i="46"/>
  <c r="I9" i="46" s="1"/>
  <c r="I24" i="46" s="1"/>
  <c r="G6" i="46"/>
  <c r="F6" i="46"/>
  <c r="F7" i="46" s="1"/>
  <c r="E16" i="46"/>
  <c r="AE39" i="46" l="1"/>
  <c r="AE40" i="46"/>
  <c r="AC40" i="46"/>
  <c r="AC39" i="46"/>
  <c r="AC51" i="46"/>
  <c r="AB53" i="46"/>
  <c r="AB54" i="46"/>
  <c r="AB55" i="46"/>
  <c r="AA39" i="46"/>
  <c r="AA40" i="46"/>
  <c r="Z54" i="46"/>
  <c r="Z55" i="46"/>
  <c r="AA51" i="46"/>
  <c r="Z53" i="46"/>
  <c r="Y40" i="46"/>
  <c r="Y39" i="46"/>
  <c r="AD53" i="46"/>
  <c r="AD54" i="46"/>
  <c r="AE51" i="46"/>
  <c r="AD55" i="46"/>
  <c r="O24" i="46"/>
  <c r="M24" i="46"/>
  <c r="O21" i="46"/>
  <c r="M28" i="46"/>
  <c r="H7" i="46"/>
  <c r="I8" i="46" s="1"/>
  <c r="I31" i="46"/>
  <c r="G9" i="46"/>
  <c r="G24" i="46" s="1"/>
  <c r="K21" i="46"/>
  <c r="K18" i="46"/>
  <c r="K27" i="46"/>
  <c r="K9" i="46"/>
  <c r="G7" i="46"/>
  <c r="G8" i="46" s="1"/>
  <c r="J18" i="46"/>
  <c r="O31" i="46" l="1"/>
  <c r="W43" i="46" s="1"/>
  <c r="M31" i="46"/>
  <c r="O28" i="46"/>
  <c r="I21" i="46"/>
  <c r="K24" i="46"/>
  <c r="K28" i="46"/>
  <c r="G31" i="46"/>
  <c r="G21" i="46"/>
  <c r="V45" i="46" l="1"/>
  <c r="V44" i="46"/>
  <c r="S42" i="46"/>
  <c r="S43" i="46" s="1"/>
  <c r="O42" i="46"/>
  <c r="O43" i="46" s="1"/>
  <c r="I28" i="46"/>
  <c r="G28" i="46"/>
  <c r="K31" i="46"/>
  <c r="N44" i="46" l="1"/>
  <c r="N45" i="46"/>
  <c r="R44" i="46"/>
  <c r="R45" i="46"/>
  <c r="C27" i="46" l="1"/>
  <c r="C18" i="46"/>
  <c r="B18" i="46"/>
  <c r="E18" i="46"/>
  <c r="E6" i="46"/>
  <c r="E7" i="46" s="1"/>
  <c r="D6" i="46"/>
  <c r="D7" i="46" s="1"/>
  <c r="E8" i="46" s="1"/>
  <c r="C6" i="46"/>
  <c r="C7" i="46" s="1"/>
  <c r="B6" i="46"/>
  <c r="B7" i="46" s="1"/>
  <c r="C8" i="46" s="1"/>
  <c r="G16" i="45"/>
  <c r="G6" i="45"/>
  <c r="F6" i="45"/>
  <c r="F7" i="45" s="1"/>
  <c r="E27" i="45"/>
  <c r="E18" i="45"/>
  <c r="D18" i="45"/>
  <c r="C27" i="45"/>
  <c r="C18" i="45"/>
  <c r="B18" i="45"/>
  <c r="E6" i="45"/>
  <c r="D6" i="45"/>
  <c r="D7" i="45" s="1"/>
  <c r="C6" i="45"/>
  <c r="C7" i="45" s="1"/>
  <c r="B6" i="45"/>
  <c r="C21" i="46" l="1"/>
  <c r="C28" i="46" s="1"/>
  <c r="C9" i="46"/>
  <c r="E21" i="46"/>
  <c r="E27" i="46"/>
  <c r="E9" i="46"/>
  <c r="D18" i="46"/>
  <c r="G9" i="45"/>
  <c r="G24" i="45"/>
  <c r="G7" i="45"/>
  <c r="G8" i="45" s="1"/>
  <c r="F18" i="45"/>
  <c r="G27" i="45"/>
  <c r="G18" i="45"/>
  <c r="E28" i="45"/>
  <c r="E9" i="45"/>
  <c r="E24" i="45" s="1"/>
  <c r="E31" i="45" s="1"/>
  <c r="C9" i="45"/>
  <c r="C24" i="45" s="1"/>
  <c r="C31" i="45" s="1"/>
  <c r="B7" i="45"/>
  <c r="C8" i="45" s="1"/>
  <c r="E7" i="45"/>
  <c r="E8" i="45" s="1"/>
  <c r="E21" i="45" s="1"/>
  <c r="Q27" i="44"/>
  <c r="Q18" i="44"/>
  <c r="P18" i="44"/>
  <c r="Q6" i="44"/>
  <c r="Q7" i="44" s="1"/>
  <c r="P6" i="44"/>
  <c r="P7" i="44" s="1"/>
  <c r="K62" i="44"/>
  <c r="C62" i="44"/>
  <c r="O42" i="44"/>
  <c r="M42" i="44"/>
  <c r="O16" i="44"/>
  <c r="O27" i="44" s="1"/>
  <c r="O6" i="44"/>
  <c r="O7" i="44" s="1"/>
  <c r="N6" i="44"/>
  <c r="N7" i="44" s="1"/>
  <c r="M27" i="44"/>
  <c r="M18" i="44"/>
  <c r="L18" i="44"/>
  <c r="M6" i="44"/>
  <c r="M7" i="44" s="1"/>
  <c r="L6" i="44"/>
  <c r="L7" i="44" s="1"/>
  <c r="G32" i="44"/>
  <c r="E24" i="46" l="1"/>
  <c r="E28" i="46"/>
  <c r="C24" i="46"/>
  <c r="G21" i="45"/>
  <c r="G31" i="45"/>
  <c r="E32" i="45" s="1"/>
  <c r="C21" i="45"/>
  <c r="C32" i="45"/>
  <c r="G42" i="45" s="1"/>
  <c r="G43" i="45" s="1"/>
  <c r="F44" i="45" s="1"/>
  <c r="Q8" i="44"/>
  <c r="Q9" i="44"/>
  <c r="O18" i="44"/>
  <c r="N18" i="44"/>
  <c r="O8" i="44"/>
  <c r="O9" i="44"/>
  <c r="M8" i="44"/>
  <c r="M21" i="44" s="1"/>
  <c r="M9" i="44"/>
  <c r="W30" i="46" l="1"/>
  <c r="W36" i="46"/>
  <c r="U30" i="46"/>
  <c r="S36" i="46"/>
  <c r="S30" i="46"/>
  <c r="U36" i="46"/>
  <c r="Q30" i="46"/>
  <c r="Q36" i="46"/>
  <c r="M36" i="46"/>
  <c r="O36" i="46"/>
  <c r="K36" i="46"/>
  <c r="M30" i="46"/>
  <c r="I36" i="46"/>
  <c r="K30" i="46"/>
  <c r="G36" i="46"/>
  <c r="O30" i="46"/>
  <c r="I30" i="46"/>
  <c r="G30" i="46"/>
  <c r="C31" i="46"/>
  <c r="C32" i="46" s="1"/>
  <c r="W33" i="46" s="1"/>
  <c r="E31" i="46"/>
  <c r="G33" i="45"/>
  <c r="F45" i="45"/>
  <c r="G28" i="45"/>
  <c r="E29" i="45" s="1"/>
  <c r="E42" i="45"/>
  <c r="E43" i="45" s="1"/>
  <c r="E33" i="45"/>
  <c r="C42" i="45"/>
  <c r="C33" i="45"/>
  <c r="C28" i="45"/>
  <c r="Q42" i="44"/>
  <c r="Q43" i="44" s="1"/>
  <c r="Q24" i="44"/>
  <c r="Q33" i="44" s="1"/>
  <c r="Q21" i="44"/>
  <c r="O21" i="44"/>
  <c r="O24" i="44"/>
  <c r="O33" i="44" s="1"/>
  <c r="O43" i="44"/>
  <c r="N44" i="44" s="1"/>
  <c r="M24" i="44"/>
  <c r="M31" i="44" s="1"/>
  <c r="M28" i="44"/>
  <c r="W37" i="46" l="1"/>
  <c r="W47" i="46"/>
  <c r="W48" i="46" s="1"/>
  <c r="W49" i="46" s="1"/>
  <c r="V47" i="46"/>
  <c r="V48" i="46" s="1"/>
  <c r="V49" i="46" s="1"/>
  <c r="W50" i="46" s="1"/>
  <c r="L60" i="46"/>
  <c r="M60" i="46" s="1"/>
  <c r="O47" i="46"/>
  <c r="O48" i="46" s="1"/>
  <c r="O49" i="46" s="1"/>
  <c r="N47" i="46"/>
  <c r="N48" i="46" s="1"/>
  <c r="N49" i="46" s="1"/>
  <c r="O50" i="46" s="1"/>
  <c r="O37" i="46"/>
  <c r="U37" i="46"/>
  <c r="I37" i="46"/>
  <c r="M37" i="46"/>
  <c r="L59" i="46"/>
  <c r="M59" i="46" s="1"/>
  <c r="Q37" i="46"/>
  <c r="S37" i="46"/>
  <c r="R47" i="46"/>
  <c r="R48" i="46" s="1"/>
  <c r="R49" i="46" s="1"/>
  <c r="S47" i="46"/>
  <c r="S48" i="46" s="1"/>
  <c r="S49" i="46" s="1"/>
  <c r="U33" i="46"/>
  <c r="U42" i="46"/>
  <c r="U43" i="46" s="1"/>
  <c r="S33" i="46"/>
  <c r="Q33" i="46"/>
  <c r="Q42" i="46"/>
  <c r="Q43" i="46" s="1"/>
  <c r="I33" i="46"/>
  <c r="M42" i="46"/>
  <c r="M47" i="46" s="1"/>
  <c r="M48" i="46" s="1"/>
  <c r="M49" i="46" s="1"/>
  <c r="I42" i="46"/>
  <c r="I43" i="46" s="1"/>
  <c r="G42" i="46"/>
  <c r="G43" i="46" s="1"/>
  <c r="K42" i="46"/>
  <c r="K43" i="46" s="1"/>
  <c r="G33" i="46"/>
  <c r="M33" i="46"/>
  <c r="O33" i="46"/>
  <c r="K33" i="46"/>
  <c r="F47" i="46"/>
  <c r="F48" i="46" s="1"/>
  <c r="F49" i="46" s="1"/>
  <c r="G47" i="46"/>
  <c r="G48" i="46" s="1"/>
  <c r="G49" i="46" s="1"/>
  <c r="G37" i="46"/>
  <c r="K37" i="46"/>
  <c r="K47" i="46"/>
  <c r="K48" i="46" s="1"/>
  <c r="K49" i="46" s="1"/>
  <c r="J47" i="46"/>
  <c r="J48" i="46" s="1"/>
  <c r="J49" i="46" s="1"/>
  <c r="C36" i="46"/>
  <c r="E36" i="46"/>
  <c r="E30" i="46"/>
  <c r="C30" i="46"/>
  <c r="C29" i="45"/>
  <c r="E36" i="45" s="1"/>
  <c r="D44" i="45"/>
  <c r="D45" i="45"/>
  <c r="C43" i="45"/>
  <c r="P44" i="44"/>
  <c r="P45" i="44"/>
  <c r="Q28" i="44"/>
  <c r="C29" i="44" s="1"/>
  <c r="O30" i="44" s="1"/>
  <c r="Q31" i="44"/>
  <c r="Q32" i="44" s="1"/>
  <c r="M33" i="44"/>
  <c r="O28" i="44"/>
  <c r="O31" i="44"/>
  <c r="M32" i="44"/>
  <c r="J62" i="44"/>
  <c r="J61" i="44"/>
  <c r="K61" i="44" s="1"/>
  <c r="M43" i="44"/>
  <c r="L44" i="44" s="1"/>
  <c r="N45" i="44"/>
  <c r="L45" i="44"/>
  <c r="V55" i="46" l="1"/>
  <c r="V54" i="46"/>
  <c r="V53" i="46"/>
  <c r="W51" i="46"/>
  <c r="V40" i="46"/>
  <c r="V39" i="46"/>
  <c r="W38" i="46"/>
  <c r="S50" i="46"/>
  <c r="S51" i="46" s="1"/>
  <c r="G50" i="46"/>
  <c r="F53" i="46" s="1"/>
  <c r="K50" i="46"/>
  <c r="H44" i="46"/>
  <c r="H45" i="46"/>
  <c r="Q47" i="46"/>
  <c r="Q48" i="46" s="1"/>
  <c r="Q49" i="46" s="1"/>
  <c r="H39" i="46"/>
  <c r="H40" i="46"/>
  <c r="I38" i="46"/>
  <c r="O38" i="46"/>
  <c r="N39" i="46"/>
  <c r="N40" i="46"/>
  <c r="F54" i="46"/>
  <c r="M43" i="46"/>
  <c r="L62" i="46"/>
  <c r="M62" i="46" s="1"/>
  <c r="L61" i="46"/>
  <c r="M61" i="46" s="1"/>
  <c r="R55" i="46"/>
  <c r="P39" i="46"/>
  <c r="P40" i="46"/>
  <c r="Q38" i="46"/>
  <c r="L40" i="46"/>
  <c r="L39" i="46"/>
  <c r="M38" i="46"/>
  <c r="U47" i="46"/>
  <c r="U48" i="46" s="1"/>
  <c r="U49" i="46" s="1"/>
  <c r="N55" i="46"/>
  <c r="N54" i="46"/>
  <c r="O51" i="46"/>
  <c r="N53" i="46"/>
  <c r="K38" i="46"/>
  <c r="J40" i="46"/>
  <c r="J39" i="46"/>
  <c r="J44" i="46"/>
  <c r="J45" i="46"/>
  <c r="T44" i="46"/>
  <c r="T45" i="46"/>
  <c r="S38" i="46"/>
  <c r="R40" i="46"/>
  <c r="R39" i="46"/>
  <c r="I47" i="46"/>
  <c r="I48" i="46" s="1"/>
  <c r="I49" i="46" s="1"/>
  <c r="T47" i="46"/>
  <c r="T48" i="46" s="1"/>
  <c r="T49" i="46" s="1"/>
  <c r="U50" i="46" s="1"/>
  <c r="G38" i="46"/>
  <c r="F39" i="46"/>
  <c r="F40" i="46"/>
  <c r="F45" i="46"/>
  <c r="F44" i="46"/>
  <c r="P44" i="46"/>
  <c r="P45" i="46"/>
  <c r="P47" i="46"/>
  <c r="P48" i="46" s="1"/>
  <c r="P49" i="46" s="1"/>
  <c r="Q50" i="46" s="1"/>
  <c r="L47" i="46"/>
  <c r="L48" i="46" s="1"/>
  <c r="L49" i="46" s="1"/>
  <c r="M50" i="46" s="1"/>
  <c r="H47" i="46"/>
  <c r="H48" i="46" s="1"/>
  <c r="H49" i="46" s="1"/>
  <c r="U38" i="46"/>
  <c r="T40" i="46"/>
  <c r="T39" i="46"/>
  <c r="E37" i="46"/>
  <c r="C42" i="46"/>
  <c r="B47" i="46" s="1"/>
  <c r="B48" i="46" s="1"/>
  <c r="B49" i="46" s="1"/>
  <c r="E42" i="46"/>
  <c r="E43" i="46" s="1"/>
  <c r="E33" i="46"/>
  <c r="C33" i="46"/>
  <c r="C37" i="46"/>
  <c r="E30" i="45"/>
  <c r="G36" i="45"/>
  <c r="G30" i="45"/>
  <c r="C30" i="45"/>
  <c r="C36" i="45"/>
  <c r="B47" i="45" s="1"/>
  <c r="B48" i="45" s="1"/>
  <c r="B49" i="45" s="1"/>
  <c r="E37" i="45"/>
  <c r="E47" i="45"/>
  <c r="E48" i="45" s="1"/>
  <c r="E49" i="45" s="1"/>
  <c r="D47" i="45"/>
  <c r="D48" i="45" s="1"/>
  <c r="D49" i="45" s="1"/>
  <c r="B45" i="45"/>
  <c r="B44" i="45"/>
  <c r="O36" i="44"/>
  <c r="M36" i="44"/>
  <c r="Q36" i="44"/>
  <c r="M30" i="44"/>
  <c r="Q30" i="44"/>
  <c r="F55" i="46" l="1"/>
  <c r="R54" i="46"/>
  <c r="G51" i="46"/>
  <c r="R53" i="46"/>
  <c r="W39" i="46"/>
  <c r="W40" i="46"/>
  <c r="P53" i="46"/>
  <c r="P55" i="46"/>
  <c r="P54" i="46"/>
  <c r="Q51" i="46"/>
  <c r="U51" i="46"/>
  <c r="T55" i="46"/>
  <c r="T54" i="46"/>
  <c r="T53" i="46"/>
  <c r="S40" i="46"/>
  <c r="S39" i="46"/>
  <c r="Q39" i="46"/>
  <c r="Q40" i="46"/>
  <c r="O40" i="46"/>
  <c r="O39" i="46"/>
  <c r="U39" i="46"/>
  <c r="U40" i="46"/>
  <c r="M40" i="46"/>
  <c r="M39" i="46"/>
  <c r="L44" i="46"/>
  <c r="L45" i="46"/>
  <c r="I39" i="46"/>
  <c r="I40" i="46"/>
  <c r="I50" i="46"/>
  <c r="L53" i="46"/>
  <c r="L55" i="46"/>
  <c r="L54" i="46"/>
  <c r="M51" i="46"/>
  <c r="G40" i="46"/>
  <c r="G39" i="46"/>
  <c r="K40" i="46"/>
  <c r="K39" i="46"/>
  <c r="J54" i="46"/>
  <c r="J53" i="46"/>
  <c r="K51" i="46"/>
  <c r="J55" i="46"/>
  <c r="D47" i="46"/>
  <c r="D48" i="46" s="1"/>
  <c r="D49" i="46" s="1"/>
  <c r="E47" i="46"/>
  <c r="E48" i="46" s="1"/>
  <c r="E49" i="46" s="1"/>
  <c r="C43" i="46"/>
  <c r="D45" i="46"/>
  <c r="D44" i="46"/>
  <c r="B40" i="46"/>
  <c r="B39" i="46"/>
  <c r="C38" i="46"/>
  <c r="C47" i="46"/>
  <c r="C48" i="46" s="1"/>
  <c r="C49" i="46" s="1"/>
  <c r="C50" i="46" s="1"/>
  <c r="D40" i="46"/>
  <c r="D39" i="46"/>
  <c r="E38" i="46"/>
  <c r="C37" i="45"/>
  <c r="B39" i="45" s="1"/>
  <c r="C47" i="45"/>
  <c r="C48" i="45" s="1"/>
  <c r="C49" i="45" s="1"/>
  <c r="C50" i="45" s="1"/>
  <c r="G37" i="45"/>
  <c r="G47" i="45"/>
  <c r="G48" i="45" s="1"/>
  <c r="G49" i="45" s="1"/>
  <c r="F47" i="45"/>
  <c r="F48" i="45" s="1"/>
  <c r="F49" i="45" s="1"/>
  <c r="D40" i="45"/>
  <c r="D39" i="45"/>
  <c r="E38" i="45"/>
  <c r="E50" i="45"/>
  <c r="B40" i="45"/>
  <c r="O37" i="44"/>
  <c r="N47" i="44"/>
  <c r="N48" i="44" s="1"/>
  <c r="N49" i="44" s="1"/>
  <c r="O47" i="44"/>
  <c r="O48" i="44" s="1"/>
  <c r="O49" i="44" s="1"/>
  <c r="Q37" i="44"/>
  <c r="Q47" i="44"/>
  <c r="Q48" i="44" s="1"/>
  <c r="Q49" i="44" s="1"/>
  <c r="P47" i="44"/>
  <c r="P48" i="44" s="1"/>
  <c r="P49" i="44" s="1"/>
  <c r="M37" i="44"/>
  <c r="L47" i="44"/>
  <c r="L48" i="44" s="1"/>
  <c r="L49" i="44" s="1"/>
  <c r="M47" i="44"/>
  <c r="M48" i="44" s="1"/>
  <c r="M49" i="44" s="1"/>
  <c r="I51" i="46" l="1"/>
  <c r="H55" i="46"/>
  <c r="H53" i="46"/>
  <c r="H54" i="46"/>
  <c r="E50" i="46"/>
  <c r="B55" i="46"/>
  <c r="B54" i="46"/>
  <c r="B53" i="46"/>
  <c r="C51" i="46"/>
  <c r="B45" i="46"/>
  <c r="B44" i="46"/>
  <c r="C40" i="46"/>
  <c r="C39" i="46"/>
  <c r="E40" i="46"/>
  <c r="E39" i="46"/>
  <c r="C38" i="45"/>
  <c r="C40" i="45" s="1"/>
  <c r="G50" i="45"/>
  <c r="F40" i="45"/>
  <c r="F39" i="45"/>
  <c r="G38" i="45"/>
  <c r="D55" i="45"/>
  <c r="D54" i="45"/>
  <c r="D53" i="45"/>
  <c r="E51" i="45"/>
  <c r="E39" i="45"/>
  <c r="E40" i="45"/>
  <c r="B55" i="45"/>
  <c r="B54" i="45"/>
  <c r="B53" i="45"/>
  <c r="C51" i="45"/>
  <c r="N40" i="44"/>
  <c r="N39" i="44"/>
  <c r="O38" i="44"/>
  <c r="M50" i="44"/>
  <c r="P40" i="44"/>
  <c r="Q38" i="44"/>
  <c r="P39" i="44"/>
  <c r="L39" i="44"/>
  <c r="L40" i="44"/>
  <c r="M38" i="44"/>
  <c r="Q50" i="44"/>
  <c r="O50" i="44"/>
  <c r="D54" i="46" l="1"/>
  <c r="D53" i="46"/>
  <c r="D55" i="46"/>
  <c r="E51" i="46"/>
  <c r="C39" i="45"/>
  <c r="F55" i="45"/>
  <c r="F54" i="45"/>
  <c r="F53" i="45"/>
  <c r="G51" i="45"/>
  <c r="G39" i="45"/>
  <c r="G40" i="45"/>
  <c r="N54" i="44"/>
  <c r="N53" i="44"/>
  <c r="N55" i="44"/>
  <c r="O51" i="44"/>
  <c r="L55" i="44"/>
  <c r="L53" i="44"/>
  <c r="L54" i="44"/>
  <c r="M51" i="44"/>
  <c r="P53" i="44"/>
  <c r="P55" i="44"/>
  <c r="Q51" i="44"/>
  <c r="P54" i="44"/>
  <c r="O40" i="44"/>
  <c r="O39" i="44"/>
  <c r="M40" i="44"/>
  <c r="M39" i="44"/>
  <c r="Q40" i="44"/>
  <c r="Q39" i="44"/>
  <c r="K27" i="44" l="1"/>
  <c r="K18" i="44"/>
  <c r="J18" i="44"/>
  <c r="K6" i="44"/>
  <c r="K7" i="44" s="1"/>
  <c r="J6" i="44"/>
  <c r="J7" i="44" s="1"/>
  <c r="K8" i="44" l="1"/>
  <c r="K21" i="44" s="1"/>
  <c r="K30" i="44" s="1"/>
  <c r="K9" i="44"/>
  <c r="K24" i="44" s="1"/>
  <c r="K36" i="44"/>
  <c r="B61" i="44"/>
  <c r="G42" i="44"/>
  <c r="B62" i="44" s="1"/>
  <c r="I16" i="44"/>
  <c r="E16" i="44"/>
  <c r="J59" i="44" l="1"/>
  <c r="K59" i="44" s="1"/>
  <c r="J60" i="44"/>
  <c r="K60" i="44" s="1"/>
  <c r="K33" i="44"/>
  <c r="K31" i="44"/>
  <c r="K28" i="44"/>
  <c r="K42" i="44"/>
  <c r="K43" i="44" s="1"/>
  <c r="J45" i="44" s="1"/>
  <c r="K37" i="44"/>
  <c r="J44" i="44"/>
  <c r="I27" i="44"/>
  <c r="G27" i="44"/>
  <c r="E27" i="44"/>
  <c r="C27" i="44"/>
  <c r="I18" i="44"/>
  <c r="H18" i="44"/>
  <c r="G18" i="44"/>
  <c r="F18" i="44"/>
  <c r="E18" i="44"/>
  <c r="D18" i="44"/>
  <c r="C18" i="44"/>
  <c r="B18" i="44"/>
  <c r="I6" i="44"/>
  <c r="I7" i="44" s="1"/>
  <c r="H6" i="44"/>
  <c r="H7" i="44" s="1"/>
  <c r="I8" i="44" s="1"/>
  <c r="G6" i="44"/>
  <c r="G7" i="44" s="1"/>
  <c r="F6" i="44"/>
  <c r="F7" i="44" s="1"/>
  <c r="E6" i="44"/>
  <c r="D6" i="44"/>
  <c r="D7" i="44" s="1"/>
  <c r="C6" i="44"/>
  <c r="C7" i="44" s="1"/>
  <c r="B6" i="44"/>
  <c r="B7" i="44" s="1"/>
  <c r="J47" i="44" l="1"/>
  <c r="J48" i="44" s="1"/>
  <c r="J49" i="44" s="1"/>
  <c r="K47" i="44"/>
  <c r="K48" i="44" s="1"/>
  <c r="K49" i="44" s="1"/>
  <c r="J40" i="44"/>
  <c r="J39" i="44"/>
  <c r="K38" i="44"/>
  <c r="G8" i="44"/>
  <c r="G21" i="44" s="1"/>
  <c r="G28" i="44" s="1"/>
  <c r="G9" i="44"/>
  <c r="E9" i="44"/>
  <c r="E24" i="44" s="1"/>
  <c r="E31" i="44" s="1"/>
  <c r="C8" i="44"/>
  <c r="C21" i="44" s="1"/>
  <c r="C28" i="44" s="1"/>
  <c r="C9" i="44"/>
  <c r="C24" i="44" s="1"/>
  <c r="C31" i="44" s="1"/>
  <c r="C32" i="44" s="1"/>
  <c r="I21" i="44"/>
  <c r="I28" i="44"/>
  <c r="I9" i="44"/>
  <c r="E7" i="44"/>
  <c r="E8" i="44" s="1"/>
  <c r="F62" i="42"/>
  <c r="G62" i="42" s="1"/>
  <c r="E62" i="42"/>
  <c r="D62" i="42"/>
  <c r="F61" i="42"/>
  <c r="G61" i="42" s="1"/>
  <c r="E61" i="42"/>
  <c r="D61" i="42"/>
  <c r="F60" i="42"/>
  <c r="G60" i="42" s="1"/>
  <c r="E60" i="42"/>
  <c r="D60" i="42"/>
  <c r="F59" i="42"/>
  <c r="G59" i="42" s="1"/>
  <c r="E59" i="42"/>
  <c r="D59" i="42"/>
  <c r="C62" i="42"/>
  <c r="C60" i="42"/>
  <c r="B62" i="42"/>
  <c r="B61" i="42"/>
  <c r="B60" i="42"/>
  <c r="B59" i="42"/>
  <c r="AQ27" i="42"/>
  <c r="AO27" i="42"/>
  <c r="AM27" i="42"/>
  <c r="AQ18" i="42"/>
  <c r="AP18" i="42"/>
  <c r="AO18" i="42"/>
  <c r="AN18" i="42"/>
  <c r="AM18" i="42"/>
  <c r="AL18" i="42"/>
  <c r="AQ6" i="42"/>
  <c r="AP6" i="42"/>
  <c r="AP7" i="42" s="1"/>
  <c r="AO6" i="42"/>
  <c r="AO7" i="42" s="1"/>
  <c r="AN6" i="42"/>
  <c r="AN7" i="42" s="1"/>
  <c r="AM6" i="42"/>
  <c r="AL6" i="42"/>
  <c r="AL7" i="42" s="1"/>
  <c r="AK27" i="42"/>
  <c r="AI27" i="42"/>
  <c r="AG27" i="42"/>
  <c r="AK18" i="42"/>
  <c r="AJ18" i="42"/>
  <c r="AI18" i="42"/>
  <c r="AH18" i="42"/>
  <c r="AG18" i="42"/>
  <c r="AF18" i="42"/>
  <c r="AK6" i="42"/>
  <c r="AJ6" i="42"/>
  <c r="AJ7" i="42" s="1"/>
  <c r="AI6" i="42"/>
  <c r="AI7" i="42" s="1"/>
  <c r="AH6" i="42"/>
  <c r="AG6" i="42"/>
  <c r="AF6" i="42"/>
  <c r="AF7" i="42" s="1"/>
  <c r="G27" i="43"/>
  <c r="E27" i="43"/>
  <c r="C27" i="43"/>
  <c r="G18" i="43"/>
  <c r="F18" i="43"/>
  <c r="E18" i="43"/>
  <c r="D18" i="43"/>
  <c r="C18" i="43"/>
  <c r="B18" i="43"/>
  <c r="G6" i="43"/>
  <c r="G7" i="43" s="1"/>
  <c r="F6" i="43"/>
  <c r="F7" i="43" s="1"/>
  <c r="E6" i="43"/>
  <c r="D6" i="43"/>
  <c r="D7" i="43" s="1"/>
  <c r="C6" i="43"/>
  <c r="C7" i="43" s="1"/>
  <c r="B6" i="43"/>
  <c r="B7" i="43" s="1"/>
  <c r="G62" i="41"/>
  <c r="G61" i="41"/>
  <c r="G60" i="41"/>
  <c r="G59" i="41"/>
  <c r="E62" i="41"/>
  <c r="E61" i="41"/>
  <c r="E60" i="41"/>
  <c r="E59" i="41"/>
  <c r="C62" i="41"/>
  <c r="C61" i="41"/>
  <c r="C59" i="41"/>
  <c r="C60" i="41"/>
  <c r="K50" i="44" l="1"/>
  <c r="J54" i="44" s="1"/>
  <c r="K39" i="44"/>
  <c r="K40" i="44"/>
  <c r="K51" i="44"/>
  <c r="G24" i="44"/>
  <c r="G31" i="44" s="1"/>
  <c r="E21" i="44"/>
  <c r="I24" i="44"/>
  <c r="AO8" i="42"/>
  <c r="AO21" i="42" s="1"/>
  <c r="AO9" i="42"/>
  <c r="AO24" i="42" s="1"/>
  <c r="AO31" i="42" s="1"/>
  <c r="AQ9" i="42"/>
  <c r="AQ24" i="42" s="1"/>
  <c r="AM9" i="42"/>
  <c r="AM24" i="42" s="1"/>
  <c r="AM33" i="42" s="1"/>
  <c r="AO36" i="42"/>
  <c r="AM7" i="42"/>
  <c r="AM8" i="42" s="1"/>
  <c r="AQ7" i="42"/>
  <c r="AQ8" i="42" s="1"/>
  <c r="AO42" i="42"/>
  <c r="AO43" i="42" s="1"/>
  <c r="AK9" i="42"/>
  <c r="AK24" i="42" s="1"/>
  <c r="AI9" i="42"/>
  <c r="AI24" i="42" s="1"/>
  <c r="AG9" i="42"/>
  <c r="AG24" i="42" s="1"/>
  <c r="AG7" i="42"/>
  <c r="AG8" i="42" s="1"/>
  <c r="AK7" i="42"/>
  <c r="AK8" i="42" s="1"/>
  <c r="AH7" i="42"/>
  <c r="AI8" i="42" s="1"/>
  <c r="G9" i="43"/>
  <c r="G24" i="43" s="1"/>
  <c r="G8" i="43"/>
  <c r="G21" i="43" s="1"/>
  <c r="C9" i="43"/>
  <c r="C8" i="43"/>
  <c r="C21" i="43" s="1"/>
  <c r="E9" i="43"/>
  <c r="E24" i="43" s="1"/>
  <c r="E31" i="43" s="1"/>
  <c r="G28" i="43"/>
  <c r="C24" i="43"/>
  <c r="E7" i="43"/>
  <c r="E8" i="43" s="1"/>
  <c r="G31" i="43"/>
  <c r="AE27" i="42"/>
  <c r="AC27" i="42"/>
  <c r="AA27" i="42"/>
  <c r="Y27" i="42"/>
  <c r="W27" i="42"/>
  <c r="U27" i="42"/>
  <c r="S27" i="42"/>
  <c r="Q27" i="42"/>
  <c r="O27" i="42"/>
  <c r="M27" i="42"/>
  <c r="K27" i="42"/>
  <c r="I27" i="42"/>
  <c r="G27" i="42"/>
  <c r="E27" i="42"/>
  <c r="C27" i="42"/>
  <c r="AE18" i="42"/>
  <c r="AD18" i="42"/>
  <c r="AC18" i="42"/>
  <c r="AB18" i="42"/>
  <c r="AA18" i="42"/>
  <c r="Z18" i="42"/>
  <c r="Y18" i="42"/>
  <c r="X18" i="42"/>
  <c r="W18" i="42"/>
  <c r="V18" i="42"/>
  <c r="U18" i="42"/>
  <c r="T18" i="42"/>
  <c r="S18" i="42"/>
  <c r="R18" i="42"/>
  <c r="Q18" i="42"/>
  <c r="P18" i="42"/>
  <c r="O18" i="42"/>
  <c r="N18" i="42"/>
  <c r="M18" i="42"/>
  <c r="L18" i="42"/>
  <c r="K18" i="42"/>
  <c r="J18" i="42"/>
  <c r="I18" i="42"/>
  <c r="H18" i="42"/>
  <c r="G18" i="42"/>
  <c r="F18" i="42"/>
  <c r="E18" i="42"/>
  <c r="D18" i="42"/>
  <c r="C18" i="42"/>
  <c r="B18" i="42"/>
  <c r="R7" i="42"/>
  <c r="N7" i="42"/>
  <c r="AE6" i="42"/>
  <c r="AD6" i="42"/>
  <c r="AD7" i="42" s="1"/>
  <c r="AC6" i="42"/>
  <c r="AC7" i="42" s="1"/>
  <c r="AB6" i="42"/>
  <c r="AB7" i="42" s="1"/>
  <c r="AC8" i="42" s="1"/>
  <c r="AA6" i="42"/>
  <c r="Z6" i="42"/>
  <c r="Z7" i="42" s="1"/>
  <c r="Y6" i="42"/>
  <c r="Y7" i="42" s="1"/>
  <c r="X6" i="42"/>
  <c r="Y9" i="42" s="1"/>
  <c r="W6" i="42"/>
  <c r="V6" i="42"/>
  <c r="V7" i="42" s="1"/>
  <c r="U6" i="42"/>
  <c r="U7" i="42" s="1"/>
  <c r="T6" i="42"/>
  <c r="T7" i="42" s="1"/>
  <c r="U8" i="42" s="1"/>
  <c r="S6" i="42"/>
  <c r="R6" i="42"/>
  <c r="Q6" i="42"/>
  <c r="Q7" i="42" s="1"/>
  <c r="P6" i="42"/>
  <c r="Q9" i="42" s="1"/>
  <c r="O6" i="42"/>
  <c r="N6" i="42"/>
  <c r="M6" i="42"/>
  <c r="M7" i="42" s="1"/>
  <c r="L6" i="42"/>
  <c r="L7" i="42" s="1"/>
  <c r="M8" i="42" s="1"/>
  <c r="K6" i="42"/>
  <c r="J6" i="42"/>
  <c r="J7" i="42" s="1"/>
  <c r="I6" i="42"/>
  <c r="I7" i="42" s="1"/>
  <c r="H6" i="42"/>
  <c r="G6" i="42"/>
  <c r="F6" i="42"/>
  <c r="F7" i="42" s="1"/>
  <c r="E6" i="42"/>
  <c r="E7" i="42" s="1"/>
  <c r="D6" i="42"/>
  <c r="D7" i="42" s="1"/>
  <c r="E8" i="42" s="1"/>
  <c r="C6" i="42"/>
  <c r="B6" i="42"/>
  <c r="B7" i="42" s="1"/>
  <c r="AE27" i="41"/>
  <c r="AC27" i="41"/>
  <c r="AA27" i="41"/>
  <c r="AE18" i="41"/>
  <c r="AD18" i="41"/>
  <c r="AC18" i="41"/>
  <c r="AB18" i="41"/>
  <c r="AA18" i="41"/>
  <c r="Z18" i="41"/>
  <c r="AE7" i="41"/>
  <c r="AE6" i="41"/>
  <c r="AD6" i="41"/>
  <c r="AD7" i="41" s="1"/>
  <c r="AC6" i="41"/>
  <c r="AC7" i="41" s="1"/>
  <c r="AB6" i="41"/>
  <c r="AB7" i="41" s="1"/>
  <c r="AA6" i="41"/>
  <c r="AA7" i="41" s="1"/>
  <c r="Z6" i="41"/>
  <c r="Z7" i="41" s="1"/>
  <c r="Y27" i="41"/>
  <c r="W27" i="41"/>
  <c r="U27" i="41"/>
  <c r="Y18" i="41"/>
  <c r="X18" i="41"/>
  <c r="W18" i="41"/>
  <c r="V18" i="41"/>
  <c r="U18" i="41"/>
  <c r="T18" i="41"/>
  <c r="Y7" i="41"/>
  <c r="X7" i="41"/>
  <c r="Y8" i="41" s="1"/>
  <c r="Y6" i="41"/>
  <c r="X6" i="41"/>
  <c r="W6" i="41"/>
  <c r="W7" i="41" s="1"/>
  <c r="V6" i="41"/>
  <c r="V7" i="41" s="1"/>
  <c r="U6" i="41"/>
  <c r="U7" i="41" s="1"/>
  <c r="T6" i="41"/>
  <c r="U9" i="41" s="1"/>
  <c r="S27" i="41"/>
  <c r="Q27" i="41"/>
  <c r="O27" i="41"/>
  <c r="S18" i="41"/>
  <c r="R18" i="41"/>
  <c r="Q18" i="41"/>
  <c r="P18" i="41"/>
  <c r="O18" i="41"/>
  <c r="N18" i="41"/>
  <c r="S6" i="41"/>
  <c r="R6" i="41"/>
  <c r="R7" i="41" s="1"/>
  <c r="Q6" i="41"/>
  <c r="Q7" i="41" s="1"/>
  <c r="P6" i="41"/>
  <c r="P7" i="41" s="1"/>
  <c r="O6" i="41"/>
  <c r="O7" i="41" s="1"/>
  <c r="N6" i="41"/>
  <c r="N7" i="41" s="1"/>
  <c r="M27" i="41"/>
  <c r="K27" i="41"/>
  <c r="I27" i="41"/>
  <c r="M18" i="41"/>
  <c r="L18" i="41"/>
  <c r="K18" i="41"/>
  <c r="J18" i="41"/>
  <c r="I18" i="41"/>
  <c r="H18" i="41"/>
  <c r="K7" i="41"/>
  <c r="M6" i="41"/>
  <c r="L6" i="41"/>
  <c r="L7" i="41" s="1"/>
  <c r="K6" i="41"/>
  <c r="J6" i="41"/>
  <c r="J7" i="41" s="1"/>
  <c r="I6" i="41"/>
  <c r="H6" i="41"/>
  <c r="H7" i="41" s="1"/>
  <c r="G27" i="41"/>
  <c r="E27" i="41"/>
  <c r="C27" i="41"/>
  <c r="G6" i="41"/>
  <c r="G7" i="41" s="1"/>
  <c r="F6" i="41"/>
  <c r="F7" i="41" s="1"/>
  <c r="E6" i="41"/>
  <c r="E7" i="41" s="1"/>
  <c r="D6" i="41"/>
  <c r="D7" i="41" s="1"/>
  <c r="C6" i="41"/>
  <c r="B6" i="41"/>
  <c r="B7" i="41" s="1"/>
  <c r="J53" i="44" l="1"/>
  <c r="J55" i="44"/>
  <c r="G33" i="44"/>
  <c r="I31" i="44"/>
  <c r="E28" i="44"/>
  <c r="AQ42" i="42"/>
  <c r="AQ43" i="42" s="1"/>
  <c r="AO33" i="42"/>
  <c r="AM42" i="42"/>
  <c r="AM43" i="42" s="1"/>
  <c r="AL45" i="42" s="1"/>
  <c r="AQ33" i="42"/>
  <c r="AQ31" i="42"/>
  <c r="AQ36" i="42"/>
  <c r="AQ21" i="42"/>
  <c r="AL44" i="42"/>
  <c r="AM36" i="42"/>
  <c r="AM21" i="42"/>
  <c r="AN44" i="42"/>
  <c r="AN45" i="42"/>
  <c r="AP44" i="42"/>
  <c r="AP45" i="42"/>
  <c r="AM31" i="42"/>
  <c r="AO30" i="42"/>
  <c r="AO28" i="42"/>
  <c r="AO47" i="42"/>
  <c r="AO48" i="42" s="1"/>
  <c r="AO49" i="42" s="1"/>
  <c r="AO37" i="42"/>
  <c r="AN47" i="42"/>
  <c r="AN48" i="42" s="1"/>
  <c r="AN49" i="42" s="1"/>
  <c r="AG31" i="42"/>
  <c r="AG21" i="42"/>
  <c r="AI21" i="42"/>
  <c r="AK21" i="42"/>
  <c r="AI31" i="42"/>
  <c r="AK31" i="42"/>
  <c r="AE9" i="42"/>
  <c r="AE24" i="42" s="1"/>
  <c r="AA9" i="42"/>
  <c r="W9" i="42"/>
  <c r="W24" i="42" s="1"/>
  <c r="S9" i="42"/>
  <c r="O9" i="42"/>
  <c r="O24" i="42" s="1"/>
  <c r="K9" i="42"/>
  <c r="I9" i="42"/>
  <c r="I24" i="42" s="1"/>
  <c r="I31" i="42" s="1"/>
  <c r="G9" i="42"/>
  <c r="C9" i="42"/>
  <c r="C24" i="42" s="1"/>
  <c r="C31" i="43"/>
  <c r="C28" i="43"/>
  <c r="E21" i="43"/>
  <c r="M21" i="42"/>
  <c r="Y24" i="42"/>
  <c r="E21" i="42"/>
  <c r="Q24" i="42"/>
  <c r="U21" i="42"/>
  <c r="AC21" i="42"/>
  <c r="G24" i="42"/>
  <c r="K24" i="42"/>
  <c r="K31" i="42" s="1"/>
  <c r="S24" i="42"/>
  <c r="AA24" i="42"/>
  <c r="C7" i="42"/>
  <c r="C8" i="42" s="1"/>
  <c r="G7" i="42"/>
  <c r="G8" i="42" s="1"/>
  <c r="K7" i="42"/>
  <c r="K8" i="42" s="1"/>
  <c r="O7" i="42"/>
  <c r="O8" i="42" s="1"/>
  <c r="S7" i="42"/>
  <c r="S8" i="42" s="1"/>
  <c r="W7" i="42"/>
  <c r="W8" i="42" s="1"/>
  <c r="AA7" i="42"/>
  <c r="AA8" i="42" s="1"/>
  <c r="AE7" i="42"/>
  <c r="AE8" i="42" s="1"/>
  <c r="Q31" i="42"/>
  <c r="Y31" i="42"/>
  <c r="H7" i="42"/>
  <c r="I8" i="42" s="1"/>
  <c r="P7" i="42"/>
  <c r="Q8" i="42" s="1"/>
  <c r="X7" i="42"/>
  <c r="Y8" i="42" s="1"/>
  <c r="E9" i="42"/>
  <c r="M9" i="42"/>
  <c r="U9" i="42"/>
  <c r="AC9" i="42"/>
  <c r="AE8" i="41"/>
  <c r="AE21" i="41" s="1"/>
  <c r="AE9" i="41"/>
  <c r="AE24" i="41" s="1"/>
  <c r="AA8" i="41"/>
  <c r="AA21" i="41" s="1"/>
  <c r="AA9" i="41"/>
  <c r="AC8" i="41"/>
  <c r="AC9" i="41"/>
  <c r="K8" i="41"/>
  <c r="Y9" i="41"/>
  <c r="T7" i="41"/>
  <c r="U8" i="41"/>
  <c r="U21" i="41" s="1"/>
  <c r="Y21" i="41"/>
  <c r="Y24" i="41"/>
  <c r="W8" i="41"/>
  <c r="W9" i="41"/>
  <c r="U24" i="41"/>
  <c r="U31" i="41" s="1"/>
  <c r="S9" i="41"/>
  <c r="S7" i="41"/>
  <c r="S8" i="41"/>
  <c r="S21" i="41" s="1"/>
  <c r="O8" i="41"/>
  <c r="O21" i="41" s="1"/>
  <c r="Q8" i="41"/>
  <c r="O9" i="41"/>
  <c r="Q9" i="41"/>
  <c r="M9" i="41"/>
  <c r="K9" i="41"/>
  <c r="I9" i="41"/>
  <c r="K21" i="41"/>
  <c r="I7" i="41"/>
  <c r="I8" i="41" s="1"/>
  <c r="M7" i="41"/>
  <c r="M8" i="41" s="1"/>
  <c r="E8" i="41"/>
  <c r="C9" i="41"/>
  <c r="E21" i="41"/>
  <c r="G8" i="41"/>
  <c r="C7" i="41"/>
  <c r="C8" i="41" s="1"/>
  <c r="E9" i="41"/>
  <c r="G9" i="41"/>
  <c r="B16" i="40"/>
  <c r="I36" i="44" l="1"/>
  <c r="C36" i="44"/>
  <c r="G36" i="44"/>
  <c r="C30" i="44"/>
  <c r="G30" i="44"/>
  <c r="I30" i="44"/>
  <c r="E36" i="44"/>
  <c r="C42" i="44"/>
  <c r="E42" i="44"/>
  <c r="C33" i="44"/>
  <c r="I42" i="44"/>
  <c r="I43" i="44" s="1"/>
  <c r="E33" i="44"/>
  <c r="E30" i="44"/>
  <c r="I33" i="44"/>
  <c r="AN39" i="42"/>
  <c r="AO38" i="42"/>
  <c r="AN40" i="42"/>
  <c r="AM30" i="42"/>
  <c r="AM28" i="42"/>
  <c r="AQ30" i="42"/>
  <c r="AQ28" i="42"/>
  <c r="AL47" i="42"/>
  <c r="AL48" i="42" s="1"/>
  <c r="AL49" i="42" s="1"/>
  <c r="AM37" i="42"/>
  <c r="AM47" i="42"/>
  <c r="AM48" i="42" s="1"/>
  <c r="AM49" i="42" s="1"/>
  <c r="AP47" i="42"/>
  <c r="AP48" i="42" s="1"/>
  <c r="AP49" i="42" s="1"/>
  <c r="AQ47" i="42"/>
  <c r="AQ48" i="42" s="1"/>
  <c r="AQ49" i="42" s="1"/>
  <c r="AQ37" i="42"/>
  <c r="AO50" i="42"/>
  <c r="AK28" i="42"/>
  <c r="AG28" i="42"/>
  <c r="AI28" i="42"/>
  <c r="E28" i="43"/>
  <c r="C29" i="43" s="1"/>
  <c r="C32" i="43"/>
  <c r="G21" i="42"/>
  <c r="S21" i="42"/>
  <c r="C21" i="42"/>
  <c r="W21" i="42"/>
  <c r="AE21" i="42"/>
  <c r="O21" i="42"/>
  <c r="AA21" i="42"/>
  <c r="K21" i="42"/>
  <c r="AC28" i="42"/>
  <c r="C31" i="42"/>
  <c r="E24" i="42"/>
  <c r="M24" i="42"/>
  <c r="AA31" i="42"/>
  <c r="AC24" i="42"/>
  <c r="Y21" i="42"/>
  <c r="AE31" i="42"/>
  <c r="W31" i="42"/>
  <c r="O31" i="42"/>
  <c r="G31" i="42"/>
  <c r="U28" i="42"/>
  <c r="E28" i="42"/>
  <c r="M28" i="42"/>
  <c r="I21" i="42"/>
  <c r="S31" i="42"/>
  <c r="U24" i="42"/>
  <c r="Q21" i="42"/>
  <c r="AE31" i="41"/>
  <c r="AA24" i="41"/>
  <c r="AA31" i="41" s="1"/>
  <c r="AC21" i="41"/>
  <c r="AC24" i="41"/>
  <c r="AA28" i="41"/>
  <c r="AE28" i="41"/>
  <c r="U28" i="41"/>
  <c r="W21" i="41"/>
  <c r="Y28" i="41"/>
  <c r="W24" i="41"/>
  <c r="Y31" i="41"/>
  <c r="S24" i="41"/>
  <c r="S31" i="41"/>
  <c r="Q21" i="41"/>
  <c r="S28" i="41"/>
  <c r="O28" i="41"/>
  <c r="Q24" i="41"/>
  <c r="O24" i="41"/>
  <c r="I24" i="41"/>
  <c r="M24" i="41"/>
  <c r="M31" i="41" s="1"/>
  <c r="K24" i="41"/>
  <c r="M21" i="41"/>
  <c r="I21" i="41"/>
  <c r="K28" i="41"/>
  <c r="C21" i="41"/>
  <c r="C18" i="41"/>
  <c r="B18" i="41"/>
  <c r="E24" i="41"/>
  <c r="C24" i="41"/>
  <c r="G24" i="41"/>
  <c r="E28" i="41"/>
  <c r="D18" i="41"/>
  <c r="E18" i="41"/>
  <c r="G21" i="41"/>
  <c r="G18" i="41"/>
  <c r="F18" i="41"/>
  <c r="Q27" i="40"/>
  <c r="O27" i="40"/>
  <c r="M27" i="40"/>
  <c r="K27" i="40"/>
  <c r="Q14" i="40"/>
  <c r="Q15" i="40" s="1"/>
  <c r="P14" i="40"/>
  <c r="P15" i="40" s="1"/>
  <c r="P16" i="40" s="1"/>
  <c r="O14" i="40"/>
  <c r="O15" i="40" s="1"/>
  <c r="O17" i="40" s="1"/>
  <c r="N14" i="40"/>
  <c r="N15" i="40" s="1"/>
  <c r="M14" i="40"/>
  <c r="M15" i="40" s="1"/>
  <c r="L14" i="40"/>
  <c r="L15" i="40" s="1"/>
  <c r="L16" i="40" s="1"/>
  <c r="K14" i="40"/>
  <c r="K15" i="40" s="1"/>
  <c r="K17" i="40" s="1"/>
  <c r="J14" i="40"/>
  <c r="J15" i="40" s="1"/>
  <c r="Q13" i="40"/>
  <c r="P13" i="40"/>
  <c r="O13" i="40"/>
  <c r="N13" i="40"/>
  <c r="M13" i="40"/>
  <c r="L13" i="40"/>
  <c r="K13" i="40"/>
  <c r="J13" i="40"/>
  <c r="Q6" i="40"/>
  <c r="P6" i="40"/>
  <c r="P7" i="40" s="1"/>
  <c r="O6" i="40"/>
  <c r="O7" i="40" s="1"/>
  <c r="N6" i="40"/>
  <c r="M6" i="40"/>
  <c r="L6" i="40"/>
  <c r="L7" i="40" s="1"/>
  <c r="K6" i="40"/>
  <c r="K7" i="40" s="1"/>
  <c r="J6" i="40"/>
  <c r="J7" i="40" s="1"/>
  <c r="I42" i="40"/>
  <c r="I36" i="40"/>
  <c r="H47" i="40" s="1"/>
  <c r="H48" i="40" s="1"/>
  <c r="H49" i="40" s="1"/>
  <c r="G42" i="40"/>
  <c r="G43" i="40" s="1"/>
  <c r="G37" i="40"/>
  <c r="G36" i="40"/>
  <c r="E43" i="40"/>
  <c r="D45" i="40" s="1"/>
  <c r="E42" i="40"/>
  <c r="E36" i="40"/>
  <c r="D47" i="40" s="1"/>
  <c r="D48" i="40" s="1"/>
  <c r="D49" i="40" s="1"/>
  <c r="B59" i="40"/>
  <c r="C42" i="40"/>
  <c r="B61" i="40" s="1"/>
  <c r="C36" i="40"/>
  <c r="C37" i="40" s="1"/>
  <c r="C32" i="40"/>
  <c r="I33" i="40" s="1"/>
  <c r="C33" i="40"/>
  <c r="C29" i="40"/>
  <c r="G30" i="40" s="1"/>
  <c r="I30" i="40"/>
  <c r="E30" i="40"/>
  <c r="C30" i="40"/>
  <c r="B6" i="40"/>
  <c r="B7" i="40"/>
  <c r="B13" i="40"/>
  <c r="B15" i="40" s="1"/>
  <c r="B14" i="40"/>
  <c r="S27" i="40"/>
  <c r="I27" i="40"/>
  <c r="G27" i="40"/>
  <c r="E27" i="40"/>
  <c r="C27" i="40"/>
  <c r="S18" i="40"/>
  <c r="R18" i="40"/>
  <c r="I14" i="40"/>
  <c r="H14" i="40"/>
  <c r="G14" i="40"/>
  <c r="F14" i="40"/>
  <c r="F15" i="40" s="1"/>
  <c r="E14" i="40"/>
  <c r="D14" i="40"/>
  <c r="C14" i="40"/>
  <c r="I13" i="40"/>
  <c r="H13" i="40"/>
  <c r="G13" i="40"/>
  <c r="F13" i="40"/>
  <c r="E13" i="40"/>
  <c r="D13" i="40"/>
  <c r="C13" i="40"/>
  <c r="S6" i="40"/>
  <c r="R6" i="40"/>
  <c r="R7" i="40" s="1"/>
  <c r="I6" i="40"/>
  <c r="I7" i="40" s="1"/>
  <c r="H6" i="40"/>
  <c r="H7" i="40" s="1"/>
  <c r="G6" i="40"/>
  <c r="F6" i="40"/>
  <c r="F7" i="40" s="1"/>
  <c r="E6" i="40"/>
  <c r="E7" i="40" s="1"/>
  <c r="D6" i="40"/>
  <c r="D7" i="40" s="1"/>
  <c r="C6" i="40"/>
  <c r="E16" i="39"/>
  <c r="D6" i="39"/>
  <c r="E6" i="39"/>
  <c r="J42" i="39"/>
  <c r="D42" i="39"/>
  <c r="D36" i="39"/>
  <c r="I27" i="39"/>
  <c r="G27" i="39"/>
  <c r="C27" i="39"/>
  <c r="I18" i="39"/>
  <c r="H18" i="39"/>
  <c r="G18" i="39"/>
  <c r="F18" i="39"/>
  <c r="C18" i="39"/>
  <c r="B18" i="39"/>
  <c r="K16" i="39"/>
  <c r="K27" i="39" s="1"/>
  <c r="E27" i="39"/>
  <c r="K6" i="39"/>
  <c r="J6" i="39"/>
  <c r="J7" i="39" s="1"/>
  <c r="I6" i="39"/>
  <c r="H6" i="39"/>
  <c r="H7" i="39" s="1"/>
  <c r="G6" i="39"/>
  <c r="F6" i="39"/>
  <c r="F7" i="39" s="1"/>
  <c r="E9" i="39"/>
  <c r="E24" i="39" s="1"/>
  <c r="D7" i="39"/>
  <c r="C6" i="39"/>
  <c r="B6" i="39"/>
  <c r="B7" i="39" s="1"/>
  <c r="K16" i="38"/>
  <c r="K6" i="38"/>
  <c r="K9" i="38" s="1"/>
  <c r="J6" i="38"/>
  <c r="J7" i="38" s="1"/>
  <c r="J42" i="38"/>
  <c r="K27" i="38"/>
  <c r="I27" i="38"/>
  <c r="I18" i="38"/>
  <c r="H18" i="38"/>
  <c r="I6" i="38"/>
  <c r="H6" i="38"/>
  <c r="H7" i="38" s="1"/>
  <c r="B60" i="44" l="1"/>
  <c r="C60" i="44" s="1"/>
  <c r="E43" i="44"/>
  <c r="H45" i="44"/>
  <c r="H44" i="44"/>
  <c r="C61" i="44"/>
  <c r="C43" i="44"/>
  <c r="C59" i="44"/>
  <c r="C47" i="44"/>
  <c r="C48" i="44" s="1"/>
  <c r="C49" i="44" s="1"/>
  <c r="B47" i="44"/>
  <c r="B48" i="44" s="1"/>
  <c r="B49" i="44" s="1"/>
  <c r="C37" i="44"/>
  <c r="I47" i="44"/>
  <c r="I48" i="44" s="1"/>
  <c r="I49" i="44" s="1"/>
  <c r="H47" i="44"/>
  <c r="H48" i="44" s="1"/>
  <c r="H49" i="44" s="1"/>
  <c r="I37" i="44"/>
  <c r="G43" i="44"/>
  <c r="E47" i="44"/>
  <c r="E48" i="44" s="1"/>
  <c r="E49" i="44" s="1"/>
  <c r="D47" i="44"/>
  <c r="D48" i="44" s="1"/>
  <c r="D49" i="44" s="1"/>
  <c r="E37" i="44"/>
  <c r="F47" i="44"/>
  <c r="F48" i="44" s="1"/>
  <c r="F49" i="44" s="1"/>
  <c r="G47" i="44"/>
  <c r="G48" i="44" s="1"/>
  <c r="G49" i="44" s="1"/>
  <c r="G37" i="44"/>
  <c r="AM50" i="42"/>
  <c r="AL55" i="42" s="1"/>
  <c r="AN54" i="42"/>
  <c r="AN55" i="42"/>
  <c r="AO51" i="42"/>
  <c r="AN53" i="42"/>
  <c r="AO39" i="42"/>
  <c r="AO40" i="42"/>
  <c r="AQ50" i="42"/>
  <c r="AP39" i="42"/>
  <c r="AQ38" i="42"/>
  <c r="AP40" i="42"/>
  <c r="AL39" i="42"/>
  <c r="AL40" i="42"/>
  <c r="AM38" i="42"/>
  <c r="C42" i="43"/>
  <c r="G42" i="43"/>
  <c r="G33" i="43"/>
  <c r="E42" i="43"/>
  <c r="C33" i="43"/>
  <c r="E33" i="43"/>
  <c r="G30" i="43"/>
  <c r="C36" i="43"/>
  <c r="G36" i="43"/>
  <c r="E36" i="43"/>
  <c r="C30" i="43"/>
  <c r="E30" i="43"/>
  <c r="O28" i="42"/>
  <c r="W28" i="42"/>
  <c r="U31" i="42"/>
  <c r="I28" i="42"/>
  <c r="Y28" i="42"/>
  <c r="E31" i="42"/>
  <c r="K28" i="42"/>
  <c r="S28" i="42"/>
  <c r="AE28" i="42"/>
  <c r="Q28" i="42"/>
  <c r="AC31" i="42"/>
  <c r="M31" i="42"/>
  <c r="AA28" i="42"/>
  <c r="C28" i="42"/>
  <c r="G28" i="42"/>
  <c r="AC31" i="41"/>
  <c r="AC28" i="41"/>
  <c r="W28" i="41"/>
  <c r="W31" i="41"/>
  <c r="O31" i="41"/>
  <c r="Q31" i="41"/>
  <c r="Q28" i="41"/>
  <c r="K31" i="41"/>
  <c r="I31" i="41"/>
  <c r="I28" i="41"/>
  <c r="M28" i="41"/>
  <c r="G31" i="41"/>
  <c r="C31" i="41"/>
  <c r="C32" i="41" s="1"/>
  <c r="C28" i="41"/>
  <c r="C29" i="41" s="1"/>
  <c r="AC30" i="41" s="1"/>
  <c r="G28" i="41"/>
  <c r="E31" i="41"/>
  <c r="O9" i="40"/>
  <c r="O42" i="40" s="1"/>
  <c r="M9" i="40"/>
  <c r="M42" i="40" s="1"/>
  <c r="H62" i="40" s="1"/>
  <c r="Q9" i="40"/>
  <c r="Q42" i="40" s="1"/>
  <c r="K18" i="40"/>
  <c r="J18" i="40"/>
  <c r="O18" i="40"/>
  <c r="N18" i="40"/>
  <c r="M17" i="40"/>
  <c r="Q17" i="40"/>
  <c r="K8" i="40"/>
  <c r="J16" i="40"/>
  <c r="N16" i="40"/>
  <c r="N7" i="40"/>
  <c r="O8" i="40" s="1"/>
  <c r="K9" i="40"/>
  <c r="M7" i="40"/>
  <c r="M8" i="40" s="1"/>
  <c r="Q7" i="40"/>
  <c r="Q8" i="40" s="1"/>
  <c r="I43" i="40"/>
  <c r="I47" i="40"/>
  <c r="I48" i="40" s="1"/>
  <c r="I49" i="40" s="1"/>
  <c r="I50" i="40" s="1"/>
  <c r="D62" i="40"/>
  <c r="I37" i="40"/>
  <c r="F45" i="40"/>
  <c r="F44" i="40"/>
  <c r="F40" i="40"/>
  <c r="G38" i="40"/>
  <c r="F39" i="40"/>
  <c r="F47" i="40"/>
  <c r="F48" i="40" s="1"/>
  <c r="F49" i="40" s="1"/>
  <c r="G50" i="40" s="1"/>
  <c r="G47" i="40"/>
  <c r="G48" i="40" s="1"/>
  <c r="G49" i="40" s="1"/>
  <c r="D60" i="40"/>
  <c r="E37" i="40"/>
  <c r="C60" i="40" s="1"/>
  <c r="D44" i="40"/>
  <c r="E47" i="40"/>
  <c r="E48" i="40" s="1"/>
  <c r="E49" i="40" s="1"/>
  <c r="E50" i="40" s="1"/>
  <c r="D59" i="40"/>
  <c r="D61" i="40"/>
  <c r="B40" i="40"/>
  <c r="B39" i="40"/>
  <c r="C38" i="40"/>
  <c r="B47" i="40"/>
  <c r="B48" i="40" s="1"/>
  <c r="B49" i="40" s="1"/>
  <c r="C50" i="40" s="1"/>
  <c r="B62" i="40"/>
  <c r="C43" i="40"/>
  <c r="C47" i="40"/>
  <c r="C48" i="40" s="1"/>
  <c r="C49" i="40" s="1"/>
  <c r="B60" i="40"/>
  <c r="E33" i="40"/>
  <c r="G33" i="40"/>
  <c r="E15" i="40"/>
  <c r="I15" i="40"/>
  <c r="I9" i="40"/>
  <c r="C15" i="40"/>
  <c r="C17" i="40" s="1"/>
  <c r="B18" i="40" s="1"/>
  <c r="G15" i="40"/>
  <c r="F16" i="40" s="1"/>
  <c r="D15" i="40"/>
  <c r="H15" i="40"/>
  <c r="E8" i="40"/>
  <c r="C9" i="40"/>
  <c r="G9" i="40"/>
  <c r="S9" i="40"/>
  <c r="I8" i="40"/>
  <c r="E9" i="40"/>
  <c r="C7" i="40"/>
  <c r="C8" i="40" s="1"/>
  <c r="G7" i="40"/>
  <c r="G8" i="40" s="1"/>
  <c r="S7" i="40"/>
  <c r="S8" i="40" s="1"/>
  <c r="G9" i="39"/>
  <c r="I9" i="39"/>
  <c r="K9" i="39"/>
  <c r="K24" i="39" s="1"/>
  <c r="K26" i="39" s="1"/>
  <c r="C9" i="39"/>
  <c r="C24" i="39" s="1"/>
  <c r="C31" i="39" s="1"/>
  <c r="E26" i="39"/>
  <c r="G24" i="39"/>
  <c r="G31" i="39" s="1"/>
  <c r="I24" i="39"/>
  <c r="I31" i="39" s="1"/>
  <c r="I32" i="39" s="1"/>
  <c r="E31" i="39"/>
  <c r="K31" i="39"/>
  <c r="C7" i="39"/>
  <c r="C8" i="39" s="1"/>
  <c r="E7" i="39"/>
  <c r="E8" i="39" s="1"/>
  <c r="E21" i="39" s="1"/>
  <c r="G7" i="39"/>
  <c r="G8" i="39" s="1"/>
  <c r="I7" i="39"/>
  <c r="I8" i="39" s="1"/>
  <c r="K7" i="39"/>
  <c r="K8" i="39" s="1"/>
  <c r="K21" i="39" s="1"/>
  <c r="D18" i="39"/>
  <c r="E18" i="39"/>
  <c r="J18" i="39"/>
  <c r="K18" i="39"/>
  <c r="K7" i="38"/>
  <c r="K8" i="38" s="1"/>
  <c r="K21" i="38" s="1"/>
  <c r="K24" i="38"/>
  <c r="I9" i="38"/>
  <c r="K26" i="38"/>
  <c r="K31" i="38"/>
  <c r="J18" i="38"/>
  <c r="K18" i="38"/>
  <c r="I24" i="38"/>
  <c r="I31" i="38"/>
  <c r="I32" i="38" s="1"/>
  <c r="I7" i="38"/>
  <c r="I8" i="38" s="1"/>
  <c r="I50" i="44" l="1"/>
  <c r="H54" i="44" s="1"/>
  <c r="C50" i="44"/>
  <c r="C51" i="44" s="1"/>
  <c r="D39" i="44"/>
  <c r="D40" i="44"/>
  <c r="E38" i="44"/>
  <c r="E50" i="44"/>
  <c r="F45" i="44"/>
  <c r="F44" i="44"/>
  <c r="G38" i="44"/>
  <c r="F40" i="44"/>
  <c r="F39" i="44"/>
  <c r="H40" i="44"/>
  <c r="I38" i="44"/>
  <c r="H39" i="44"/>
  <c r="B40" i="44"/>
  <c r="B39" i="44"/>
  <c r="C38" i="44"/>
  <c r="B45" i="44"/>
  <c r="B44" i="44"/>
  <c r="D44" i="44"/>
  <c r="D45" i="44"/>
  <c r="G50" i="44"/>
  <c r="AM51" i="42"/>
  <c r="AL54" i="42"/>
  <c r="AL53" i="42"/>
  <c r="AQ40" i="42"/>
  <c r="AQ39" i="42"/>
  <c r="AP55" i="42"/>
  <c r="AQ51" i="42"/>
  <c r="AP53" i="42"/>
  <c r="AP54" i="42"/>
  <c r="AM40" i="42"/>
  <c r="AM39" i="42"/>
  <c r="C32" i="42"/>
  <c r="B47" i="43"/>
  <c r="B48" i="43" s="1"/>
  <c r="B49" i="43" s="1"/>
  <c r="C37" i="43"/>
  <c r="B60" i="43"/>
  <c r="C60" i="43" s="1"/>
  <c r="C47" i="43"/>
  <c r="C48" i="43" s="1"/>
  <c r="C49" i="43" s="1"/>
  <c r="B59" i="43"/>
  <c r="C59" i="43" s="1"/>
  <c r="F62" i="43"/>
  <c r="G62" i="43" s="1"/>
  <c r="F61" i="43"/>
  <c r="G61" i="43" s="1"/>
  <c r="G43" i="43"/>
  <c r="F47" i="43"/>
  <c r="F48" i="43" s="1"/>
  <c r="F49" i="43" s="1"/>
  <c r="G37" i="43"/>
  <c r="F60" i="43"/>
  <c r="G60" i="43" s="1"/>
  <c r="F59" i="43"/>
  <c r="G59" i="43" s="1"/>
  <c r="G47" i="43"/>
  <c r="G48" i="43" s="1"/>
  <c r="G49" i="43" s="1"/>
  <c r="B62" i="43"/>
  <c r="C62" i="43" s="1"/>
  <c r="B61" i="43"/>
  <c r="C61" i="43" s="1"/>
  <c r="C43" i="43"/>
  <c r="D47" i="43"/>
  <c r="D48" i="43" s="1"/>
  <c r="D49" i="43" s="1"/>
  <c r="E50" i="43" s="1"/>
  <c r="D59" i="43"/>
  <c r="E59" i="43" s="1"/>
  <c r="D60" i="43"/>
  <c r="E60" i="43" s="1"/>
  <c r="E47" i="43"/>
  <c r="E48" i="43" s="1"/>
  <c r="E49" i="43" s="1"/>
  <c r="E37" i="43"/>
  <c r="E43" i="43"/>
  <c r="D61" i="43"/>
  <c r="E61" i="43" s="1"/>
  <c r="D62" i="43"/>
  <c r="E62" i="43" s="1"/>
  <c r="AE36" i="41"/>
  <c r="AE37" i="41" s="1"/>
  <c r="AE30" i="41"/>
  <c r="AC36" i="41"/>
  <c r="AC37" i="41" s="1"/>
  <c r="AB39" i="41" s="1"/>
  <c r="AA30" i="41"/>
  <c r="AA36" i="41"/>
  <c r="AA37" i="41" s="1"/>
  <c r="AA33" i="41"/>
  <c r="AA42" i="41"/>
  <c r="AE42" i="41"/>
  <c r="AE33" i="41"/>
  <c r="AC42" i="41"/>
  <c r="AC33" i="41"/>
  <c r="C29" i="42"/>
  <c r="Z40" i="41"/>
  <c r="Y42" i="41"/>
  <c r="Y36" i="41"/>
  <c r="Y37" i="41" s="1"/>
  <c r="Y38" i="41" s="1"/>
  <c r="Y40" i="41" s="1"/>
  <c r="S36" i="41"/>
  <c r="S37" i="41" s="1"/>
  <c r="K36" i="41"/>
  <c r="M30" i="41"/>
  <c r="U30" i="41"/>
  <c r="W30" i="41"/>
  <c r="O30" i="41"/>
  <c r="O36" i="41"/>
  <c r="O37" i="41" s="1"/>
  <c r="N39" i="41" s="1"/>
  <c r="U36" i="41"/>
  <c r="U37" i="41" s="1"/>
  <c r="U38" i="41" s="1"/>
  <c r="U39" i="41" s="1"/>
  <c r="Q36" i="41"/>
  <c r="Q37" i="41" s="1"/>
  <c r="Q38" i="41" s="1"/>
  <c r="I36" i="41"/>
  <c r="S30" i="41"/>
  <c r="Q30" i="41"/>
  <c r="I30" i="41"/>
  <c r="Y30" i="41"/>
  <c r="W36" i="41"/>
  <c r="W37" i="41" s="1"/>
  <c r="W38" i="41" s="1"/>
  <c r="K30" i="41"/>
  <c r="M36" i="41"/>
  <c r="Q33" i="41"/>
  <c r="W33" i="41"/>
  <c r="M33" i="41"/>
  <c r="Q42" i="41"/>
  <c r="O24" i="40"/>
  <c r="O33" i="40" s="1"/>
  <c r="M21" i="40"/>
  <c r="M36" i="40"/>
  <c r="K24" i="40"/>
  <c r="K42" i="40"/>
  <c r="P62" i="40"/>
  <c r="P61" i="40"/>
  <c r="Q43" i="40"/>
  <c r="Q36" i="40"/>
  <c r="Q21" i="40"/>
  <c r="O36" i="40"/>
  <c r="O21" i="40"/>
  <c r="Q18" i="40"/>
  <c r="P18" i="40"/>
  <c r="L62" i="40"/>
  <c r="L61" i="40"/>
  <c r="M43" i="40"/>
  <c r="N62" i="40"/>
  <c r="N61" i="40"/>
  <c r="O43" i="40"/>
  <c r="M18" i="40"/>
  <c r="L18" i="40"/>
  <c r="M24" i="40"/>
  <c r="H61" i="40"/>
  <c r="K21" i="40"/>
  <c r="K36" i="40"/>
  <c r="Q24" i="40"/>
  <c r="H53" i="40"/>
  <c r="I51" i="40"/>
  <c r="H55" i="40"/>
  <c r="H54" i="40"/>
  <c r="H39" i="40"/>
  <c r="I38" i="40"/>
  <c r="H40" i="40"/>
  <c r="H45" i="40"/>
  <c r="H44" i="40"/>
  <c r="F54" i="40"/>
  <c r="F53" i="40"/>
  <c r="G51" i="40"/>
  <c r="F55" i="40"/>
  <c r="G39" i="40"/>
  <c r="G40" i="40"/>
  <c r="D53" i="40"/>
  <c r="E51" i="40"/>
  <c r="D54" i="40"/>
  <c r="D55" i="40"/>
  <c r="D39" i="40"/>
  <c r="E38" i="40"/>
  <c r="D40" i="40"/>
  <c r="C59" i="40"/>
  <c r="B53" i="40"/>
  <c r="B55" i="40"/>
  <c r="B54" i="40"/>
  <c r="C51" i="40"/>
  <c r="C39" i="40"/>
  <c r="C40" i="40"/>
  <c r="B44" i="40"/>
  <c r="B45" i="40"/>
  <c r="H16" i="40"/>
  <c r="E17" i="40"/>
  <c r="D18" i="40" s="1"/>
  <c r="I17" i="40"/>
  <c r="I24" i="40" s="1"/>
  <c r="I31" i="40" s="1"/>
  <c r="G17" i="40"/>
  <c r="F18" i="40" s="1"/>
  <c r="E18" i="40"/>
  <c r="D16" i="40"/>
  <c r="C21" i="40"/>
  <c r="S21" i="40"/>
  <c r="G21" i="40"/>
  <c r="I21" i="40"/>
  <c r="S24" i="40"/>
  <c r="E21" i="40"/>
  <c r="C18" i="40"/>
  <c r="C24" i="40"/>
  <c r="C32" i="39"/>
  <c r="K23" i="39"/>
  <c r="K28" i="39"/>
  <c r="I21" i="39"/>
  <c r="G21" i="39"/>
  <c r="E23" i="39"/>
  <c r="E28" i="39"/>
  <c r="C21" i="39"/>
  <c r="I26" i="39"/>
  <c r="G26" i="39"/>
  <c r="C26" i="39"/>
  <c r="G32" i="39"/>
  <c r="K23" i="38"/>
  <c r="K28" i="38"/>
  <c r="I21" i="38"/>
  <c r="I26" i="38"/>
  <c r="H55" i="44" l="1"/>
  <c r="H53" i="44"/>
  <c r="B54" i="44"/>
  <c r="B53" i="44"/>
  <c r="B55" i="44"/>
  <c r="I51" i="44"/>
  <c r="C40" i="44"/>
  <c r="C39" i="44"/>
  <c r="I39" i="44"/>
  <c r="I40" i="44"/>
  <c r="D55" i="44"/>
  <c r="D54" i="44"/>
  <c r="D53" i="44"/>
  <c r="E51" i="44"/>
  <c r="F54" i="44"/>
  <c r="F53" i="44"/>
  <c r="G51" i="44"/>
  <c r="F55" i="44"/>
  <c r="G40" i="44"/>
  <c r="G39" i="44"/>
  <c r="E39" i="44"/>
  <c r="E40" i="44"/>
  <c r="O42" i="42"/>
  <c r="O43" i="42" s="1"/>
  <c r="AG42" i="42"/>
  <c r="AK42" i="42"/>
  <c r="AK43" i="42" s="1"/>
  <c r="AK33" i="42"/>
  <c r="AI33" i="42"/>
  <c r="AI42" i="42"/>
  <c r="AI43" i="42" s="1"/>
  <c r="AG33" i="42"/>
  <c r="AG36" i="42"/>
  <c r="AI36" i="42"/>
  <c r="AK36" i="42"/>
  <c r="AK30" i="42"/>
  <c r="AG30" i="42"/>
  <c r="AI30" i="42"/>
  <c r="G42" i="42"/>
  <c r="E42" i="42"/>
  <c r="I42" i="42"/>
  <c r="I43" i="42" s="1"/>
  <c r="H44" i="42" s="1"/>
  <c r="M33" i="42"/>
  <c r="S33" i="42"/>
  <c r="Y33" i="42"/>
  <c r="E33" i="42"/>
  <c r="O33" i="42"/>
  <c r="U42" i="42"/>
  <c r="U43" i="42" s="1"/>
  <c r="T44" i="42" s="1"/>
  <c r="C33" i="42"/>
  <c r="AA42" i="42"/>
  <c r="AA43" i="42" s="1"/>
  <c r="Z45" i="42" s="1"/>
  <c r="AC33" i="42"/>
  <c r="AC42" i="42"/>
  <c r="AC43" i="42" s="1"/>
  <c r="AB44" i="42" s="1"/>
  <c r="G33" i="42"/>
  <c r="AA33" i="42"/>
  <c r="K42" i="42"/>
  <c r="K43" i="42" s="1"/>
  <c r="J45" i="42" s="1"/>
  <c r="I33" i="42"/>
  <c r="M42" i="42"/>
  <c r="M43" i="42" s="1"/>
  <c r="L44" i="42" s="1"/>
  <c r="W33" i="42"/>
  <c r="Y42" i="42"/>
  <c r="Y43" i="42" s="1"/>
  <c r="X44" i="42" s="1"/>
  <c r="C42" i="42"/>
  <c r="U33" i="42"/>
  <c r="AE33" i="42"/>
  <c r="Q33" i="42"/>
  <c r="K33" i="42"/>
  <c r="Q42" i="42"/>
  <c r="Q43" i="42" s="1"/>
  <c r="P45" i="42" s="1"/>
  <c r="S42" i="42"/>
  <c r="S43" i="42" s="1"/>
  <c r="R45" i="42" s="1"/>
  <c r="AE42" i="42"/>
  <c r="AE43" i="42" s="1"/>
  <c r="AD45" i="42" s="1"/>
  <c r="W42" i="42"/>
  <c r="W43" i="42" s="1"/>
  <c r="V44" i="42" s="1"/>
  <c r="C50" i="43"/>
  <c r="C51" i="43" s="1"/>
  <c r="B45" i="43"/>
  <c r="B44" i="43"/>
  <c r="F39" i="43"/>
  <c r="F40" i="43"/>
  <c r="G38" i="43"/>
  <c r="B39" i="43"/>
  <c r="B40" i="43"/>
  <c r="C38" i="43"/>
  <c r="G50" i="43"/>
  <c r="F44" i="43"/>
  <c r="F45" i="43"/>
  <c r="B53" i="43"/>
  <c r="B55" i="43"/>
  <c r="B54" i="43"/>
  <c r="D45" i="43"/>
  <c r="D44" i="43"/>
  <c r="D40" i="43"/>
  <c r="D39" i="43"/>
  <c r="E38" i="43"/>
  <c r="D54" i="43"/>
  <c r="E51" i="43"/>
  <c r="D55" i="43"/>
  <c r="D53" i="43"/>
  <c r="AB40" i="41"/>
  <c r="AC38" i="41"/>
  <c r="AC39" i="41" s="1"/>
  <c r="Z39" i="41"/>
  <c r="AA38" i="41"/>
  <c r="AD40" i="41"/>
  <c r="AD39" i="41"/>
  <c r="AE38" i="41"/>
  <c r="AE43" i="41"/>
  <c r="AD47" i="41"/>
  <c r="AD48" i="41" s="1"/>
  <c r="AD49" i="41" s="1"/>
  <c r="AE47" i="41"/>
  <c r="AE48" i="41" s="1"/>
  <c r="AE49" i="41" s="1"/>
  <c r="AA43" i="41"/>
  <c r="AA47" i="41"/>
  <c r="AA48" i="41" s="1"/>
  <c r="AA49" i="41" s="1"/>
  <c r="Z47" i="41"/>
  <c r="Z48" i="41" s="1"/>
  <c r="Z49" i="41" s="1"/>
  <c r="AC43" i="41"/>
  <c r="AC47" i="41"/>
  <c r="AC48" i="41" s="1"/>
  <c r="AC49" i="41" s="1"/>
  <c r="AB47" i="41"/>
  <c r="AB48" i="41" s="1"/>
  <c r="AB49" i="41" s="1"/>
  <c r="AC36" i="42"/>
  <c r="M36" i="42"/>
  <c r="E36" i="42"/>
  <c r="U36" i="42"/>
  <c r="AE36" i="42"/>
  <c r="G36" i="42"/>
  <c r="C36" i="42"/>
  <c r="AA36" i="42"/>
  <c r="Y36" i="42"/>
  <c r="I36" i="42"/>
  <c r="W36" i="42"/>
  <c r="O36" i="42"/>
  <c r="AC30" i="42"/>
  <c r="E30" i="42"/>
  <c r="S36" i="42"/>
  <c r="K36" i="42"/>
  <c r="U30" i="42"/>
  <c r="M30" i="42"/>
  <c r="Q36" i="42"/>
  <c r="O30" i="42"/>
  <c r="Y30" i="42"/>
  <c r="K30" i="42"/>
  <c r="AE30" i="42"/>
  <c r="AA30" i="42"/>
  <c r="G30" i="42"/>
  <c r="W30" i="42"/>
  <c r="I30" i="42"/>
  <c r="S30" i="42"/>
  <c r="Q30" i="42"/>
  <c r="C30" i="42"/>
  <c r="N44" i="42"/>
  <c r="N45" i="42"/>
  <c r="O33" i="41"/>
  <c r="S33" i="41"/>
  <c r="U33" i="41"/>
  <c r="S42" i="41"/>
  <c r="S43" i="41" s="1"/>
  <c r="R44" i="41" s="1"/>
  <c r="V40" i="41"/>
  <c r="I33" i="41"/>
  <c r="K42" i="41"/>
  <c r="K43" i="41" s="1"/>
  <c r="N40" i="41"/>
  <c r="Y33" i="41"/>
  <c r="K33" i="41"/>
  <c r="M42" i="41"/>
  <c r="V39" i="41"/>
  <c r="U42" i="41"/>
  <c r="T47" i="41" s="1"/>
  <c r="T48" i="41" s="1"/>
  <c r="T49" i="41" s="1"/>
  <c r="O42" i="41"/>
  <c r="N47" i="41" s="1"/>
  <c r="N48" i="41" s="1"/>
  <c r="N49" i="41" s="1"/>
  <c r="I42" i="41"/>
  <c r="O38" i="41"/>
  <c r="O40" i="41" s="1"/>
  <c r="W42" i="41"/>
  <c r="V47" i="41" s="1"/>
  <c r="V48" i="41" s="1"/>
  <c r="V49" i="41" s="1"/>
  <c r="P39" i="41"/>
  <c r="P40" i="41"/>
  <c r="U40" i="41"/>
  <c r="Y39" i="41"/>
  <c r="T40" i="41"/>
  <c r="T39" i="41"/>
  <c r="X39" i="41"/>
  <c r="X40" i="41"/>
  <c r="Y43" i="41"/>
  <c r="Y47" i="41"/>
  <c r="Y48" i="41" s="1"/>
  <c r="Y49" i="41" s="1"/>
  <c r="X47" i="41"/>
  <c r="X48" i="41" s="1"/>
  <c r="X49" i="41" s="1"/>
  <c r="W39" i="41"/>
  <c r="W40" i="41"/>
  <c r="R39" i="41"/>
  <c r="S38" i="41"/>
  <c r="R40" i="41"/>
  <c r="Q43" i="41"/>
  <c r="P47" i="41"/>
  <c r="P48" i="41" s="1"/>
  <c r="P49" i="41" s="1"/>
  <c r="Q47" i="41"/>
  <c r="Q48" i="41" s="1"/>
  <c r="Q49" i="41" s="1"/>
  <c r="Q39" i="41"/>
  <c r="Q40" i="41"/>
  <c r="C42" i="41"/>
  <c r="E42" i="41"/>
  <c r="G42" i="41"/>
  <c r="E33" i="41"/>
  <c r="G33" i="41"/>
  <c r="C33" i="41"/>
  <c r="E36" i="41"/>
  <c r="G36" i="41"/>
  <c r="C36" i="41"/>
  <c r="E30" i="41"/>
  <c r="C30" i="41"/>
  <c r="G30" i="41"/>
  <c r="O31" i="40"/>
  <c r="N44" i="40"/>
  <c r="N45" i="40"/>
  <c r="O30" i="40"/>
  <c r="O28" i="40"/>
  <c r="P45" i="40"/>
  <c r="P44" i="40"/>
  <c r="K33" i="40"/>
  <c r="K31" i="40"/>
  <c r="Q33" i="40"/>
  <c r="Q31" i="40"/>
  <c r="M33" i="40"/>
  <c r="M31" i="40"/>
  <c r="O47" i="40"/>
  <c r="O48" i="40" s="1"/>
  <c r="O49" i="40" s="1"/>
  <c r="N60" i="40"/>
  <c r="N59" i="40"/>
  <c r="N47" i="40"/>
  <c r="N48" i="40" s="1"/>
  <c r="N49" i="40" s="1"/>
  <c r="O37" i="40"/>
  <c r="M47" i="40"/>
  <c r="M48" i="40" s="1"/>
  <c r="M49" i="40" s="1"/>
  <c r="L60" i="40"/>
  <c r="M37" i="40"/>
  <c r="L59" i="40"/>
  <c r="L47" i="40"/>
  <c r="L48" i="40" s="1"/>
  <c r="L49" i="40" s="1"/>
  <c r="M50" i="40" s="1"/>
  <c r="H60" i="40"/>
  <c r="H59" i="40"/>
  <c r="K47" i="40"/>
  <c r="K48" i="40" s="1"/>
  <c r="K49" i="40" s="1"/>
  <c r="F59" i="40"/>
  <c r="J60" i="40"/>
  <c r="J59" i="40"/>
  <c r="J47" i="40"/>
  <c r="J48" i="40" s="1"/>
  <c r="J49" i="40" s="1"/>
  <c r="K50" i="40" s="1"/>
  <c r="K37" i="40"/>
  <c r="F60" i="40"/>
  <c r="Q30" i="40"/>
  <c r="Q28" i="40"/>
  <c r="M30" i="40"/>
  <c r="M28" i="40"/>
  <c r="K30" i="40"/>
  <c r="K28" i="40"/>
  <c r="L45" i="40"/>
  <c r="L44" i="40"/>
  <c r="Q47" i="40"/>
  <c r="Q48" i="40" s="1"/>
  <c r="Q49" i="40" s="1"/>
  <c r="Q37" i="40"/>
  <c r="P47" i="40"/>
  <c r="P48" i="40" s="1"/>
  <c r="P49" i="40" s="1"/>
  <c r="Q50" i="40" s="1"/>
  <c r="P60" i="40"/>
  <c r="P59" i="40"/>
  <c r="F61" i="40"/>
  <c r="J62" i="40"/>
  <c r="J61" i="40"/>
  <c r="K43" i="40"/>
  <c r="F62" i="40"/>
  <c r="I40" i="40"/>
  <c r="I39" i="40"/>
  <c r="E40" i="40"/>
  <c r="E39" i="40"/>
  <c r="E24" i="40"/>
  <c r="E31" i="40" s="1"/>
  <c r="G18" i="40"/>
  <c r="H18" i="40"/>
  <c r="I18" i="40"/>
  <c r="G24" i="40"/>
  <c r="C31" i="40"/>
  <c r="S28" i="40"/>
  <c r="C28" i="40"/>
  <c r="E28" i="40"/>
  <c r="G28" i="40"/>
  <c r="S31" i="40"/>
  <c r="G31" i="40"/>
  <c r="I28" i="40"/>
  <c r="C42" i="39"/>
  <c r="E33" i="39"/>
  <c r="G42" i="39"/>
  <c r="I42" i="39"/>
  <c r="K33" i="39"/>
  <c r="C23" i="39"/>
  <c r="C28" i="39"/>
  <c r="G23" i="39"/>
  <c r="G28" i="39"/>
  <c r="I23" i="39"/>
  <c r="I28" i="39"/>
  <c r="I29" i="39" s="1"/>
  <c r="C33" i="39"/>
  <c r="B33" i="39" s="1"/>
  <c r="G33" i="39"/>
  <c r="I33" i="39"/>
  <c r="H33" i="39" s="1"/>
  <c r="I23" i="38"/>
  <c r="I28" i="38"/>
  <c r="AG43" i="42" l="1"/>
  <c r="AF45" i="42" s="1"/>
  <c r="C61" i="42"/>
  <c r="C59" i="42"/>
  <c r="AK37" i="42"/>
  <c r="AK47" i="42"/>
  <c r="AK48" i="42" s="1"/>
  <c r="AK49" i="42" s="1"/>
  <c r="AJ47" i="42"/>
  <c r="AJ48" i="42" s="1"/>
  <c r="AJ49" i="42" s="1"/>
  <c r="AH44" i="42"/>
  <c r="AH45" i="42"/>
  <c r="AI37" i="42"/>
  <c r="AH47" i="42"/>
  <c r="AH48" i="42" s="1"/>
  <c r="AH49" i="42" s="1"/>
  <c r="AI47" i="42"/>
  <c r="AI48" i="42" s="1"/>
  <c r="AI49" i="42" s="1"/>
  <c r="AF47" i="42"/>
  <c r="AF48" i="42" s="1"/>
  <c r="AF49" i="42" s="1"/>
  <c r="AG37" i="42"/>
  <c r="AG47" i="42"/>
  <c r="AG48" i="42" s="1"/>
  <c r="AG49" i="42" s="1"/>
  <c r="E43" i="42"/>
  <c r="D44" i="42" s="1"/>
  <c r="AJ44" i="42"/>
  <c r="AJ45" i="42"/>
  <c r="G43" i="42"/>
  <c r="F45" i="42" s="1"/>
  <c r="AF44" i="42"/>
  <c r="H45" i="42"/>
  <c r="AB45" i="42"/>
  <c r="C43" i="42"/>
  <c r="B44" i="42" s="1"/>
  <c r="V45" i="42"/>
  <c r="J44" i="42"/>
  <c r="T45" i="42"/>
  <c r="L45" i="42"/>
  <c r="R44" i="42"/>
  <c r="P44" i="42"/>
  <c r="AD44" i="42"/>
  <c r="X45" i="42"/>
  <c r="Z44" i="42"/>
  <c r="C39" i="43"/>
  <c r="C40" i="43"/>
  <c r="E40" i="43"/>
  <c r="E39" i="43"/>
  <c r="F55" i="43"/>
  <c r="F53" i="43"/>
  <c r="G51" i="43"/>
  <c r="F54" i="43"/>
  <c r="G40" i="43"/>
  <c r="G39" i="43"/>
  <c r="AE50" i="41"/>
  <c r="AD55" i="41" s="1"/>
  <c r="W47" i="41"/>
  <c r="W48" i="41" s="1"/>
  <c r="W49" i="41" s="1"/>
  <c r="W50" i="41" s="1"/>
  <c r="AC40" i="41"/>
  <c r="R45" i="41"/>
  <c r="W43" i="41"/>
  <c r="V45" i="41" s="1"/>
  <c r="AC50" i="41"/>
  <c r="AC51" i="41" s="1"/>
  <c r="D60" i="41"/>
  <c r="D59" i="41"/>
  <c r="U43" i="41"/>
  <c r="T44" i="41" s="1"/>
  <c r="AA39" i="41"/>
  <c r="AA40" i="41"/>
  <c r="AE40" i="41"/>
  <c r="AE39" i="41"/>
  <c r="B60" i="41"/>
  <c r="B59" i="41"/>
  <c r="F59" i="41"/>
  <c r="F60" i="41"/>
  <c r="U47" i="41"/>
  <c r="U48" i="41" s="1"/>
  <c r="U49" i="41" s="1"/>
  <c r="U50" i="41" s="1"/>
  <c r="AA50" i="41"/>
  <c r="Z53" i="41" s="1"/>
  <c r="F62" i="41"/>
  <c r="F61" i="41"/>
  <c r="D62" i="41"/>
  <c r="D61" i="41"/>
  <c r="Z44" i="41"/>
  <c r="Z45" i="41"/>
  <c r="AD54" i="41"/>
  <c r="AB44" i="41"/>
  <c r="AB45" i="41"/>
  <c r="R47" i="41"/>
  <c r="R48" i="41" s="1"/>
  <c r="R49" i="41" s="1"/>
  <c r="Z55" i="41"/>
  <c r="B61" i="41"/>
  <c r="B62" i="41"/>
  <c r="S47" i="41"/>
  <c r="S48" i="41" s="1"/>
  <c r="S49" i="41" s="1"/>
  <c r="AD44" i="41"/>
  <c r="AD45" i="41"/>
  <c r="K47" i="42"/>
  <c r="K48" i="42" s="1"/>
  <c r="K49" i="42" s="1"/>
  <c r="J47" i="42"/>
  <c r="J48" i="42" s="1"/>
  <c r="J49" i="42" s="1"/>
  <c r="K37" i="42"/>
  <c r="O47" i="42"/>
  <c r="O48" i="42" s="1"/>
  <c r="O49" i="42" s="1"/>
  <c r="N47" i="42"/>
  <c r="N48" i="42" s="1"/>
  <c r="N49" i="42" s="1"/>
  <c r="O37" i="42"/>
  <c r="AA47" i="42"/>
  <c r="AA48" i="42" s="1"/>
  <c r="AA49" i="42" s="1"/>
  <c r="Z47" i="42"/>
  <c r="Z48" i="42" s="1"/>
  <c r="Z49" i="42" s="1"/>
  <c r="AA37" i="42"/>
  <c r="U47" i="42"/>
  <c r="U48" i="42" s="1"/>
  <c r="U49" i="42" s="1"/>
  <c r="U37" i="42"/>
  <c r="T47" i="42"/>
  <c r="T48" i="42" s="1"/>
  <c r="T49" i="42" s="1"/>
  <c r="F44" i="42"/>
  <c r="Q37" i="42"/>
  <c r="Q47" i="42"/>
  <c r="Q48" i="42" s="1"/>
  <c r="Q49" i="42" s="1"/>
  <c r="P47" i="42"/>
  <c r="P48" i="42" s="1"/>
  <c r="P49" i="42" s="1"/>
  <c r="S47" i="42"/>
  <c r="S48" i="42" s="1"/>
  <c r="S49" i="42" s="1"/>
  <c r="R47" i="42"/>
  <c r="R48" i="42" s="1"/>
  <c r="R49" i="42" s="1"/>
  <c r="S37" i="42"/>
  <c r="W47" i="42"/>
  <c r="W48" i="42" s="1"/>
  <c r="W49" i="42" s="1"/>
  <c r="V47" i="42"/>
  <c r="V48" i="42" s="1"/>
  <c r="V49" i="42" s="1"/>
  <c r="W37" i="42"/>
  <c r="C47" i="42"/>
  <c r="C48" i="42" s="1"/>
  <c r="C49" i="42" s="1"/>
  <c r="B47" i="42"/>
  <c r="B48" i="42" s="1"/>
  <c r="B49" i="42" s="1"/>
  <c r="C37" i="42"/>
  <c r="E47" i="42"/>
  <c r="E48" i="42" s="1"/>
  <c r="E49" i="42" s="1"/>
  <c r="D47" i="42"/>
  <c r="D48" i="42" s="1"/>
  <c r="D49" i="42" s="1"/>
  <c r="E37" i="42"/>
  <c r="I37" i="42"/>
  <c r="I47" i="42"/>
  <c r="I48" i="42" s="1"/>
  <c r="I49" i="42" s="1"/>
  <c r="H47" i="42"/>
  <c r="H48" i="42" s="1"/>
  <c r="H49" i="42" s="1"/>
  <c r="G47" i="42"/>
  <c r="G48" i="42" s="1"/>
  <c r="G49" i="42" s="1"/>
  <c r="F47" i="42"/>
  <c r="F48" i="42" s="1"/>
  <c r="F49" i="42" s="1"/>
  <c r="G37" i="42"/>
  <c r="M47" i="42"/>
  <c r="M48" i="42" s="1"/>
  <c r="M49" i="42" s="1"/>
  <c r="L47" i="42"/>
  <c r="L48" i="42" s="1"/>
  <c r="L49" i="42" s="1"/>
  <c r="M37" i="42"/>
  <c r="Y37" i="42"/>
  <c r="Y47" i="42"/>
  <c r="Y48" i="42" s="1"/>
  <c r="Y49" i="42" s="1"/>
  <c r="X47" i="42"/>
  <c r="X48" i="42" s="1"/>
  <c r="X49" i="42" s="1"/>
  <c r="AE47" i="42"/>
  <c r="AE48" i="42" s="1"/>
  <c r="AE49" i="42" s="1"/>
  <c r="AD47" i="42"/>
  <c r="AD48" i="42" s="1"/>
  <c r="AD49" i="42" s="1"/>
  <c r="AE37" i="42"/>
  <c r="AC47" i="42"/>
  <c r="AC48" i="42" s="1"/>
  <c r="AC49" i="42" s="1"/>
  <c r="AC37" i="42"/>
  <c r="AB47" i="42"/>
  <c r="AB48" i="42" s="1"/>
  <c r="AB49" i="42" s="1"/>
  <c r="O47" i="41"/>
  <c r="O48" i="41" s="1"/>
  <c r="O49" i="41" s="1"/>
  <c r="O50" i="41" s="1"/>
  <c r="N55" i="41" s="1"/>
  <c r="O43" i="41"/>
  <c r="N44" i="41" s="1"/>
  <c r="O39" i="41"/>
  <c r="Y50" i="41"/>
  <c r="X44" i="41"/>
  <c r="X45" i="41"/>
  <c r="P44" i="41"/>
  <c r="P45" i="41"/>
  <c r="S39" i="41"/>
  <c r="S40" i="41"/>
  <c r="Q50" i="41"/>
  <c r="I43" i="41"/>
  <c r="M43" i="41"/>
  <c r="I47" i="41"/>
  <c r="I48" i="41" s="1"/>
  <c r="I49" i="41" s="1"/>
  <c r="I37" i="41"/>
  <c r="H47" i="41"/>
  <c r="H48" i="41" s="1"/>
  <c r="H49" i="41" s="1"/>
  <c r="J44" i="41"/>
  <c r="J45" i="41"/>
  <c r="K37" i="41"/>
  <c r="J47" i="41"/>
  <c r="J48" i="41" s="1"/>
  <c r="J49" i="41" s="1"/>
  <c r="K47" i="41"/>
  <c r="K48" i="41" s="1"/>
  <c r="K49" i="41" s="1"/>
  <c r="L47" i="41"/>
  <c r="L48" i="41" s="1"/>
  <c r="L49" i="41" s="1"/>
  <c r="M37" i="41"/>
  <c r="M47" i="41"/>
  <c r="M48" i="41" s="1"/>
  <c r="M49" i="41" s="1"/>
  <c r="C37" i="41"/>
  <c r="C47" i="41"/>
  <c r="C48" i="41" s="1"/>
  <c r="C49" i="41" s="1"/>
  <c r="B47" i="41"/>
  <c r="B48" i="41" s="1"/>
  <c r="B49" i="41" s="1"/>
  <c r="G47" i="41"/>
  <c r="G48" i="41" s="1"/>
  <c r="G49" i="41" s="1"/>
  <c r="G37" i="41"/>
  <c r="F47" i="41"/>
  <c r="F48" i="41" s="1"/>
  <c r="F49" i="41" s="1"/>
  <c r="E47" i="41"/>
  <c r="E48" i="41" s="1"/>
  <c r="E49" i="41" s="1"/>
  <c r="E37" i="41"/>
  <c r="D47" i="41"/>
  <c r="D48" i="41" s="1"/>
  <c r="D49" i="41" s="1"/>
  <c r="G43" i="41"/>
  <c r="E43" i="41"/>
  <c r="C43" i="41"/>
  <c r="P55" i="40"/>
  <c r="P54" i="40"/>
  <c r="P53" i="40"/>
  <c r="Q51" i="40"/>
  <c r="K60" i="40"/>
  <c r="K59" i="40"/>
  <c r="J40" i="40"/>
  <c r="J39" i="40"/>
  <c r="K38" i="40"/>
  <c r="G59" i="40"/>
  <c r="I59" i="40"/>
  <c r="E60" i="40"/>
  <c r="E59" i="40"/>
  <c r="I60" i="40"/>
  <c r="G60" i="40"/>
  <c r="L55" i="40"/>
  <c r="L54" i="40"/>
  <c r="L53" i="40"/>
  <c r="M51" i="40"/>
  <c r="Q60" i="40"/>
  <c r="Q59" i="40"/>
  <c r="Q38" i="40"/>
  <c r="P39" i="40"/>
  <c r="P40" i="40"/>
  <c r="K29" i="40"/>
  <c r="J55" i="40"/>
  <c r="J54" i="40"/>
  <c r="J53" i="40"/>
  <c r="K51" i="40"/>
  <c r="O38" i="40"/>
  <c r="O60" i="40"/>
  <c r="O59" i="40"/>
  <c r="N40" i="40"/>
  <c r="N39" i="40"/>
  <c r="J45" i="40"/>
  <c r="J44" i="40"/>
  <c r="M60" i="40"/>
  <c r="M59" i="40"/>
  <c r="L40" i="40"/>
  <c r="M38" i="40"/>
  <c r="L39" i="40"/>
  <c r="O50" i="40"/>
  <c r="K32" i="40"/>
  <c r="S23" i="40"/>
  <c r="H62" i="39"/>
  <c r="H61" i="39"/>
  <c r="I43" i="39"/>
  <c r="F62" i="39"/>
  <c r="F61" i="39"/>
  <c r="G43" i="39"/>
  <c r="B62" i="39"/>
  <c r="B61" i="39"/>
  <c r="C43" i="39"/>
  <c r="F33" i="39"/>
  <c r="G29" i="39"/>
  <c r="C29" i="39"/>
  <c r="I29" i="38"/>
  <c r="AI50" i="42" l="1"/>
  <c r="AH53" i="42" s="1"/>
  <c r="AH40" i="42"/>
  <c r="AI38" i="42"/>
  <c r="AH39" i="42"/>
  <c r="B45" i="42"/>
  <c r="AJ39" i="42"/>
  <c r="AJ40" i="42"/>
  <c r="AK38" i="42"/>
  <c r="D45" i="42"/>
  <c r="AF39" i="42"/>
  <c r="AF40" i="42"/>
  <c r="AG38" i="42"/>
  <c r="AG50" i="42"/>
  <c r="AK50" i="42"/>
  <c r="Y50" i="42"/>
  <c r="X55" i="42" s="1"/>
  <c r="M50" i="42"/>
  <c r="M51" i="42" s="1"/>
  <c r="G50" i="42"/>
  <c r="F54" i="42" s="1"/>
  <c r="C50" i="42"/>
  <c r="C51" i="42" s="1"/>
  <c r="W50" i="42"/>
  <c r="V54" i="42" s="1"/>
  <c r="O50" i="42"/>
  <c r="N55" i="42" s="1"/>
  <c r="U50" i="42"/>
  <c r="T53" i="42" s="1"/>
  <c r="T45" i="41"/>
  <c r="V44" i="41"/>
  <c r="S50" i="41"/>
  <c r="R53" i="41" s="1"/>
  <c r="AD53" i="41"/>
  <c r="AE51" i="41"/>
  <c r="AA51" i="41"/>
  <c r="Z54" i="41"/>
  <c r="W51" i="41"/>
  <c r="V55" i="41"/>
  <c r="V54" i="41"/>
  <c r="V53" i="41"/>
  <c r="AB54" i="41"/>
  <c r="AB55" i="41"/>
  <c r="AB53" i="41"/>
  <c r="AC50" i="42"/>
  <c r="AE50" i="42"/>
  <c r="X40" i="42"/>
  <c r="Y38" i="42"/>
  <c r="X39" i="42"/>
  <c r="F39" i="42"/>
  <c r="G38" i="42"/>
  <c r="F40" i="42"/>
  <c r="E50" i="42"/>
  <c r="C38" i="42"/>
  <c r="B39" i="42"/>
  <c r="B40" i="42"/>
  <c r="S38" i="42"/>
  <c r="R39" i="42"/>
  <c r="R40" i="42"/>
  <c r="AA38" i="42"/>
  <c r="Z39" i="42"/>
  <c r="Z40" i="42"/>
  <c r="AB40" i="42"/>
  <c r="AB39" i="42"/>
  <c r="AC38" i="42"/>
  <c r="L40" i="42"/>
  <c r="L39" i="42"/>
  <c r="M38" i="42"/>
  <c r="I50" i="42"/>
  <c r="V39" i="42"/>
  <c r="W38" i="42"/>
  <c r="V40" i="42"/>
  <c r="S50" i="42"/>
  <c r="P40" i="42"/>
  <c r="Q38" i="42"/>
  <c r="P39" i="42"/>
  <c r="AA50" i="42"/>
  <c r="T40" i="42"/>
  <c r="T39" i="42"/>
  <c r="U38" i="42"/>
  <c r="K38" i="42"/>
  <c r="J39" i="42"/>
  <c r="J40" i="42"/>
  <c r="AD39" i="42"/>
  <c r="AE38" i="42"/>
  <c r="AD40" i="42"/>
  <c r="H40" i="42"/>
  <c r="I38" i="42"/>
  <c r="H39" i="42"/>
  <c r="D40" i="42"/>
  <c r="D39" i="42"/>
  <c r="E38" i="42"/>
  <c r="Q50" i="42"/>
  <c r="N39" i="42"/>
  <c r="O38" i="42"/>
  <c r="N40" i="42"/>
  <c r="K50" i="42"/>
  <c r="N53" i="41"/>
  <c r="N45" i="41"/>
  <c r="N54" i="41"/>
  <c r="O51" i="41"/>
  <c r="T53" i="41"/>
  <c r="T54" i="41"/>
  <c r="T55" i="41"/>
  <c r="U51" i="41"/>
  <c r="Y51" i="41"/>
  <c r="X53" i="41"/>
  <c r="X54" i="41"/>
  <c r="X55" i="41"/>
  <c r="P55" i="41"/>
  <c r="P53" i="41"/>
  <c r="Q51" i="41"/>
  <c r="P54" i="41"/>
  <c r="E50" i="41"/>
  <c r="E51" i="41" s="1"/>
  <c r="H45" i="41"/>
  <c r="H44" i="41"/>
  <c r="L44" i="41"/>
  <c r="L45" i="41"/>
  <c r="I50" i="41"/>
  <c r="H53" i="41" s="1"/>
  <c r="K50" i="41"/>
  <c r="J53" i="41" s="1"/>
  <c r="M50" i="41"/>
  <c r="J40" i="41"/>
  <c r="J39" i="41"/>
  <c r="K38" i="41"/>
  <c r="L39" i="41"/>
  <c r="M38" i="41"/>
  <c r="L40" i="41"/>
  <c r="I38" i="41"/>
  <c r="H39" i="41"/>
  <c r="H40" i="41"/>
  <c r="C50" i="41"/>
  <c r="C51" i="41" s="1"/>
  <c r="B44" i="41"/>
  <c r="B45" i="41"/>
  <c r="F40" i="41"/>
  <c r="F39" i="41"/>
  <c r="G38" i="41"/>
  <c r="D44" i="41"/>
  <c r="D45" i="41"/>
  <c r="F45" i="41"/>
  <c r="F44" i="41"/>
  <c r="D40" i="41"/>
  <c r="D39" i="41"/>
  <c r="E38" i="41"/>
  <c r="G50" i="41"/>
  <c r="B40" i="41"/>
  <c r="C38" i="41"/>
  <c r="B39" i="41"/>
  <c r="N54" i="40"/>
  <c r="O51" i="40"/>
  <c r="N55" i="40"/>
  <c r="N53" i="40"/>
  <c r="O40" i="40"/>
  <c r="O39" i="40"/>
  <c r="Q40" i="40"/>
  <c r="Q39" i="40"/>
  <c r="K40" i="40"/>
  <c r="K39" i="40"/>
  <c r="M40" i="40"/>
  <c r="M39" i="40"/>
  <c r="S26" i="40"/>
  <c r="S42" i="40"/>
  <c r="S43" i="40" s="1"/>
  <c r="S33" i="40"/>
  <c r="S36" i="40"/>
  <c r="S30" i="40"/>
  <c r="K30" i="39"/>
  <c r="I36" i="39"/>
  <c r="G36" i="39"/>
  <c r="E30" i="39"/>
  <c r="C36" i="39"/>
  <c r="C30" i="39"/>
  <c r="G30" i="39"/>
  <c r="I30" i="39"/>
  <c r="B45" i="39"/>
  <c r="B44" i="39"/>
  <c r="F45" i="39"/>
  <c r="F44" i="39"/>
  <c r="H45" i="39"/>
  <c r="H44" i="39"/>
  <c r="E16" i="38"/>
  <c r="D42" i="38"/>
  <c r="D36" i="38"/>
  <c r="G27" i="38"/>
  <c r="C27" i="38"/>
  <c r="G18" i="38"/>
  <c r="F18" i="38"/>
  <c r="C18" i="38"/>
  <c r="B18" i="38"/>
  <c r="E27" i="38"/>
  <c r="G6" i="38"/>
  <c r="F6" i="38"/>
  <c r="F7" i="38" s="1"/>
  <c r="E6" i="38"/>
  <c r="D6" i="38"/>
  <c r="D7" i="38" s="1"/>
  <c r="C6" i="38"/>
  <c r="B6" i="38"/>
  <c r="B7" i="38" s="1"/>
  <c r="AH55" i="42" l="1"/>
  <c r="AI51" i="42"/>
  <c r="AH54" i="42"/>
  <c r="AG40" i="42"/>
  <c r="AG39" i="42"/>
  <c r="AK40" i="42"/>
  <c r="AK39" i="42"/>
  <c r="AI39" i="42"/>
  <c r="AI40" i="42"/>
  <c r="AJ55" i="42"/>
  <c r="AK51" i="42"/>
  <c r="AJ54" i="42"/>
  <c r="AJ53" i="42"/>
  <c r="AF55" i="42"/>
  <c r="AG51" i="42"/>
  <c r="AF54" i="42"/>
  <c r="AF53" i="42"/>
  <c r="N54" i="42"/>
  <c r="B53" i="42"/>
  <c r="F53" i="42"/>
  <c r="V53" i="42"/>
  <c r="T55" i="42"/>
  <c r="B55" i="42"/>
  <c r="B54" i="42"/>
  <c r="W51" i="42"/>
  <c r="X53" i="42"/>
  <c r="G51" i="42"/>
  <c r="F55" i="42"/>
  <c r="X54" i="42"/>
  <c r="L55" i="42"/>
  <c r="L54" i="42"/>
  <c r="V55" i="42"/>
  <c r="Y51" i="42"/>
  <c r="L53" i="42"/>
  <c r="N53" i="42"/>
  <c r="O51" i="42"/>
  <c r="T54" i="42"/>
  <c r="U51" i="42"/>
  <c r="R54" i="41"/>
  <c r="R55" i="41"/>
  <c r="S51" i="41"/>
  <c r="K39" i="42"/>
  <c r="K40" i="42"/>
  <c r="H55" i="42"/>
  <c r="I51" i="42"/>
  <c r="H53" i="42"/>
  <c r="H54" i="42"/>
  <c r="S39" i="42"/>
  <c r="S40" i="42"/>
  <c r="AB53" i="42"/>
  <c r="AB54" i="42"/>
  <c r="AB55" i="42"/>
  <c r="AC51" i="42"/>
  <c r="O39" i="42"/>
  <c r="O40" i="42"/>
  <c r="E40" i="42"/>
  <c r="E39" i="42"/>
  <c r="I40" i="42"/>
  <c r="I39" i="42"/>
  <c r="U40" i="42"/>
  <c r="U39" i="42"/>
  <c r="M40" i="42"/>
  <c r="M39" i="42"/>
  <c r="AA39" i="42"/>
  <c r="AA40" i="42"/>
  <c r="Y40" i="42"/>
  <c r="Y39" i="42"/>
  <c r="AE39" i="42"/>
  <c r="AE40" i="42"/>
  <c r="S51" i="42"/>
  <c r="R53" i="42"/>
  <c r="R54" i="42"/>
  <c r="R55" i="42"/>
  <c r="D53" i="42"/>
  <c r="D54" i="42"/>
  <c r="D55" i="42"/>
  <c r="E51" i="42"/>
  <c r="Q40" i="42"/>
  <c r="Q39" i="42"/>
  <c r="W39" i="42"/>
  <c r="W40" i="42"/>
  <c r="G39" i="42"/>
  <c r="G40" i="42"/>
  <c r="AA51" i="42"/>
  <c r="Z53" i="42"/>
  <c r="Z54" i="42"/>
  <c r="Z55" i="42"/>
  <c r="AC40" i="42"/>
  <c r="AC39" i="42"/>
  <c r="K51" i="42"/>
  <c r="J53" i="42"/>
  <c r="J54" i="42"/>
  <c r="J55" i="42"/>
  <c r="P55" i="42"/>
  <c r="Q51" i="42"/>
  <c r="P53" i="42"/>
  <c r="P54" i="42"/>
  <c r="C39" i="42"/>
  <c r="C40" i="42"/>
  <c r="AD54" i="42"/>
  <c r="AD55" i="42"/>
  <c r="AE51" i="42"/>
  <c r="AD53" i="42"/>
  <c r="C39" i="41"/>
  <c r="D54" i="41"/>
  <c r="D53" i="41"/>
  <c r="H54" i="41"/>
  <c r="D55" i="41"/>
  <c r="I51" i="41"/>
  <c r="H55" i="41"/>
  <c r="K51" i="41"/>
  <c r="J55" i="41"/>
  <c r="J54" i="41"/>
  <c r="M40" i="41"/>
  <c r="M39" i="41"/>
  <c r="I39" i="41"/>
  <c r="I40" i="41"/>
  <c r="L53" i="41"/>
  <c r="L55" i="41"/>
  <c r="L54" i="41"/>
  <c r="M51" i="41"/>
  <c r="K40" i="41"/>
  <c r="K39" i="41"/>
  <c r="B53" i="41"/>
  <c r="B54" i="41"/>
  <c r="B55" i="41"/>
  <c r="G39" i="41"/>
  <c r="G40" i="41"/>
  <c r="F55" i="41"/>
  <c r="F54" i="41"/>
  <c r="G51" i="41"/>
  <c r="F53" i="41"/>
  <c r="C40" i="41"/>
  <c r="E40" i="41"/>
  <c r="E39" i="41"/>
  <c r="T36" i="40"/>
  <c r="S37" i="40"/>
  <c r="S38" i="40" s="1"/>
  <c r="S47" i="40"/>
  <c r="S48" i="40" s="1"/>
  <c r="S49" i="40" s="1"/>
  <c r="R47" i="40"/>
  <c r="R48" i="40" s="1"/>
  <c r="R49" i="40" s="1"/>
  <c r="T42" i="40"/>
  <c r="H30" i="39"/>
  <c r="F30" i="39" s="1"/>
  <c r="B30" i="39"/>
  <c r="B60" i="39"/>
  <c r="B59" i="39"/>
  <c r="C47" i="39"/>
  <c r="C48" i="39" s="1"/>
  <c r="C49" i="39" s="1"/>
  <c r="B47" i="39"/>
  <c r="B48" i="39" s="1"/>
  <c r="B49" i="39" s="1"/>
  <c r="C37" i="39"/>
  <c r="F60" i="39"/>
  <c r="F59" i="39"/>
  <c r="G47" i="39"/>
  <c r="G48" i="39" s="1"/>
  <c r="G49" i="39" s="1"/>
  <c r="F47" i="39"/>
  <c r="F48" i="39" s="1"/>
  <c r="F49" i="39" s="1"/>
  <c r="G37" i="39"/>
  <c r="J36" i="39"/>
  <c r="H60" i="39"/>
  <c r="H59" i="39"/>
  <c r="I47" i="39"/>
  <c r="I48" i="39" s="1"/>
  <c r="I49" i="39" s="1"/>
  <c r="H47" i="39"/>
  <c r="H48" i="39" s="1"/>
  <c r="H49" i="39" s="1"/>
  <c r="I50" i="39" s="1"/>
  <c r="I37" i="39"/>
  <c r="G9" i="38"/>
  <c r="E9" i="38"/>
  <c r="E24" i="38" s="1"/>
  <c r="E31" i="38" s="1"/>
  <c r="C9" i="38"/>
  <c r="C24" i="38" s="1"/>
  <c r="C31" i="38" s="1"/>
  <c r="C32" i="38" s="1"/>
  <c r="G24" i="38"/>
  <c r="G31" i="38" s="1"/>
  <c r="G32" i="38" s="1"/>
  <c r="C7" i="38"/>
  <c r="C8" i="38" s="1"/>
  <c r="E7" i="38"/>
  <c r="E8" i="38" s="1"/>
  <c r="E21" i="38" s="1"/>
  <c r="G7" i="38"/>
  <c r="G8" i="38" s="1"/>
  <c r="D18" i="38"/>
  <c r="E18" i="38"/>
  <c r="O16" i="37"/>
  <c r="N42" i="37"/>
  <c r="O27" i="37"/>
  <c r="O6" i="37"/>
  <c r="N6" i="37"/>
  <c r="N7" i="37" s="1"/>
  <c r="S50" i="40" l="1"/>
  <c r="S51" i="40" s="1"/>
  <c r="G50" i="39"/>
  <c r="F55" i="39" s="1"/>
  <c r="E26" i="38"/>
  <c r="C50" i="39"/>
  <c r="I60" i="39"/>
  <c r="I59" i="39"/>
  <c r="H40" i="39"/>
  <c r="H39" i="39"/>
  <c r="I38" i="39"/>
  <c r="H55" i="39"/>
  <c r="H54" i="39"/>
  <c r="H53" i="39"/>
  <c r="I51" i="39"/>
  <c r="G60" i="39"/>
  <c r="G59" i="39"/>
  <c r="F40" i="39"/>
  <c r="F39" i="39"/>
  <c r="G38" i="39"/>
  <c r="G51" i="39"/>
  <c r="C60" i="39"/>
  <c r="C59" i="39"/>
  <c r="B40" i="39"/>
  <c r="B39" i="39"/>
  <c r="C38" i="39"/>
  <c r="B55" i="39"/>
  <c r="B54" i="39"/>
  <c r="B53" i="39"/>
  <c r="C51" i="39"/>
  <c r="K33" i="38"/>
  <c r="I42" i="38"/>
  <c r="I33" i="38"/>
  <c r="H33" i="38" s="1"/>
  <c r="G21" i="38"/>
  <c r="E23" i="38"/>
  <c r="E28" i="38"/>
  <c r="C21" i="38"/>
  <c r="G26" i="38"/>
  <c r="C26" i="38"/>
  <c r="C42" i="38"/>
  <c r="O9" i="37"/>
  <c r="O24" i="37" s="1"/>
  <c r="O26" i="37" s="1"/>
  <c r="O7" i="37"/>
  <c r="O8" i="37" s="1"/>
  <c r="O21" i="37" s="1"/>
  <c r="N18" i="37"/>
  <c r="O18" i="37"/>
  <c r="F53" i="39" l="1"/>
  <c r="O31" i="37"/>
  <c r="F54" i="39"/>
  <c r="D60" i="39"/>
  <c r="D59" i="39"/>
  <c r="C40" i="39"/>
  <c r="C39" i="39"/>
  <c r="G40" i="39"/>
  <c r="G39" i="39"/>
  <c r="J60" i="39"/>
  <c r="J59" i="39"/>
  <c r="I40" i="39"/>
  <c r="I39" i="39"/>
  <c r="H62" i="38"/>
  <c r="H61" i="38"/>
  <c r="I43" i="38"/>
  <c r="E33" i="38"/>
  <c r="G42" i="38"/>
  <c r="C23" i="38"/>
  <c r="C28" i="38"/>
  <c r="C29" i="38" s="1"/>
  <c r="G23" i="38"/>
  <c r="G28" i="38"/>
  <c r="G29" i="38" s="1"/>
  <c r="C33" i="38"/>
  <c r="B33" i="38" s="1"/>
  <c r="G33" i="38"/>
  <c r="F33" i="38" s="1"/>
  <c r="O23" i="37"/>
  <c r="O28" i="37"/>
  <c r="K30" i="38" l="1"/>
  <c r="I36" i="38"/>
  <c r="I30" i="38"/>
  <c r="H30" i="38" s="1"/>
  <c r="H45" i="38"/>
  <c r="H44" i="38"/>
  <c r="F62" i="38"/>
  <c r="F61" i="38"/>
  <c r="G43" i="38"/>
  <c r="B62" i="38"/>
  <c r="B61" i="38"/>
  <c r="C43" i="38"/>
  <c r="M27" i="37"/>
  <c r="K27" i="37"/>
  <c r="M18" i="37"/>
  <c r="L18" i="37"/>
  <c r="K18" i="37"/>
  <c r="J18" i="37"/>
  <c r="M6" i="37"/>
  <c r="L6" i="37"/>
  <c r="L7" i="37" s="1"/>
  <c r="K6" i="37"/>
  <c r="J6" i="37"/>
  <c r="J7" i="37" s="1"/>
  <c r="I16" i="37"/>
  <c r="I27" i="37" s="1"/>
  <c r="H42" i="37"/>
  <c r="H36" i="37"/>
  <c r="I6" i="37"/>
  <c r="H6" i="37"/>
  <c r="H7" i="37" s="1"/>
  <c r="H60" i="38" l="1"/>
  <c r="H59" i="38"/>
  <c r="I47" i="38"/>
  <c r="I48" i="38" s="1"/>
  <c r="I49" i="38" s="1"/>
  <c r="H47" i="38"/>
  <c r="H48" i="38" s="1"/>
  <c r="H49" i="38" s="1"/>
  <c r="I50" i="38" s="1"/>
  <c r="I37" i="38"/>
  <c r="G36" i="38"/>
  <c r="J36" i="38" s="1"/>
  <c r="E30" i="38"/>
  <c r="C36" i="38"/>
  <c r="C30" i="38"/>
  <c r="G30" i="38"/>
  <c r="F30" i="38" s="1"/>
  <c r="B45" i="38"/>
  <c r="B44" i="38"/>
  <c r="F45" i="38"/>
  <c r="F44" i="38"/>
  <c r="M9" i="37"/>
  <c r="M24" i="37" s="1"/>
  <c r="M31" i="37" s="1"/>
  <c r="M32" i="37" s="1"/>
  <c r="K9" i="37"/>
  <c r="K24" i="37" s="1"/>
  <c r="K31" i="37" s="1"/>
  <c r="K7" i="37"/>
  <c r="K8" i="37" s="1"/>
  <c r="M7" i="37"/>
  <c r="M8" i="37" s="1"/>
  <c r="I9" i="37"/>
  <c r="I24" i="37" s="1"/>
  <c r="I31" i="37" s="1"/>
  <c r="I26" i="37"/>
  <c r="I7" i="37"/>
  <c r="I8" i="37" s="1"/>
  <c r="I21" i="37" s="1"/>
  <c r="H18" i="37"/>
  <c r="I18" i="37"/>
  <c r="G27" i="37"/>
  <c r="G18" i="37"/>
  <c r="F18" i="37"/>
  <c r="G6" i="37"/>
  <c r="F6" i="37"/>
  <c r="F7" i="37" s="1"/>
  <c r="E16" i="37"/>
  <c r="B30" i="38" l="1"/>
  <c r="I60" i="38"/>
  <c r="I59" i="38"/>
  <c r="H40" i="38"/>
  <c r="H39" i="38"/>
  <c r="I38" i="38"/>
  <c r="H55" i="38"/>
  <c r="H54" i="38"/>
  <c r="H53" i="38"/>
  <c r="I51" i="38"/>
  <c r="B60" i="38"/>
  <c r="B59" i="38"/>
  <c r="C47" i="38"/>
  <c r="C48" i="38" s="1"/>
  <c r="C49" i="38" s="1"/>
  <c r="B47" i="38"/>
  <c r="B48" i="38" s="1"/>
  <c r="B49" i="38" s="1"/>
  <c r="C37" i="38"/>
  <c r="F60" i="38"/>
  <c r="F59" i="38"/>
  <c r="G47" i="38"/>
  <c r="G48" i="38" s="1"/>
  <c r="G49" i="38" s="1"/>
  <c r="F47" i="38"/>
  <c r="F48" i="38" s="1"/>
  <c r="F49" i="38" s="1"/>
  <c r="G50" i="38" s="1"/>
  <c r="G37" i="38"/>
  <c r="M21" i="37"/>
  <c r="K21" i="37"/>
  <c r="M26" i="37"/>
  <c r="K26" i="37"/>
  <c r="K32" i="37"/>
  <c r="I23" i="37"/>
  <c r="I28" i="37"/>
  <c r="G9" i="37"/>
  <c r="G24" i="37" s="1"/>
  <c r="G31" i="37" s="1"/>
  <c r="G32" i="37" s="1"/>
  <c r="G7" i="37"/>
  <c r="G8" i="37" s="1"/>
  <c r="D42" i="37"/>
  <c r="D36" i="37"/>
  <c r="C27" i="37"/>
  <c r="C18" i="37"/>
  <c r="B18" i="37"/>
  <c r="E27" i="37"/>
  <c r="E6" i="37"/>
  <c r="D6" i="37"/>
  <c r="D7" i="37" s="1"/>
  <c r="C6" i="37"/>
  <c r="B6" i="37"/>
  <c r="B7" i="37" s="1"/>
  <c r="G6" i="36"/>
  <c r="F6" i="36"/>
  <c r="F7" i="36" s="1"/>
  <c r="E16" i="36"/>
  <c r="I16" i="36"/>
  <c r="H42" i="36"/>
  <c r="H36" i="36"/>
  <c r="G27" i="36"/>
  <c r="G18" i="36"/>
  <c r="F18" i="36"/>
  <c r="I27" i="36"/>
  <c r="I6" i="36"/>
  <c r="H6" i="36"/>
  <c r="H7" i="36" s="1"/>
  <c r="D42" i="36"/>
  <c r="D36" i="36"/>
  <c r="C27" i="36"/>
  <c r="C18" i="36"/>
  <c r="B18" i="36"/>
  <c r="E27" i="36"/>
  <c r="E6" i="36"/>
  <c r="D6" i="36"/>
  <c r="D7" i="36" s="1"/>
  <c r="C6" i="36"/>
  <c r="B6" i="36"/>
  <c r="B7" i="36" s="1"/>
  <c r="AO16" i="35"/>
  <c r="AN42" i="35"/>
  <c r="AN36" i="35"/>
  <c r="AO27" i="35"/>
  <c r="AO6" i="35"/>
  <c r="AN6" i="35"/>
  <c r="AN7" i="35" s="1"/>
  <c r="AM27" i="35"/>
  <c r="AM18" i="35"/>
  <c r="AL18" i="35"/>
  <c r="AM6" i="35"/>
  <c r="AL6" i="35"/>
  <c r="AL7" i="35" s="1"/>
  <c r="AJ42" i="35"/>
  <c r="AJ36" i="35"/>
  <c r="AK16" i="35"/>
  <c r="AK27" i="35" s="1"/>
  <c r="AK6" i="35"/>
  <c r="AJ6" i="35"/>
  <c r="AJ7" i="35" s="1"/>
  <c r="AI27" i="35"/>
  <c r="AI18" i="35"/>
  <c r="AH18" i="35"/>
  <c r="AI6" i="35"/>
  <c r="AH6" i="35"/>
  <c r="AH7" i="35" s="1"/>
  <c r="AG16" i="35"/>
  <c r="AC16" i="35"/>
  <c r="AC27" i="35" s="1"/>
  <c r="AF42" i="35"/>
  <c r="AF36" i="35"/>
  <c r="AG27" i="35"/>
  <c r="AG6" i="35"/>
  <c r="AF6" i="35"/>
  <c r="AF7" i="35" s="1"/>
  <c r="Q16" i="35"/>
  <c r="AE27" i="35"/>
  <c r="AE18" i="35"/>
  <c r="AD18" i="35"/>
  <c r="AE6" i="35"/>
  <c r="AD6" i="35"/>
  <c r="AD7" i="35" s="1"/>
  <c r="AB42" i="35"/>
  <c r="AB36" i="35"/>
  <c r="AC6" i="35"/>
  <c r="AB6" i="35"/>
  <c r="AB7" i="35" s="1"/>
  <c r="AA27" i="35"/>
  <c r="AA18" i="35"/>
  <c r="Z18" i="35"/>
  <c r="AA6" i="35"/>
  <c r="Z6" i="35"/>
  <c r="Z7" i="35" s="1"/>
  <c r="U16" i="35"/>
  <c r="Y16" i="35"/>
  <c r="X42" i="35"/>
  <c r="X36" i="35"/>
  <c r="Y27" i="35"/>
  <c r="Y6" i="35"/>
  <c r="X6" i="35"/>
  <c r="X7" i="35" s="1"/>
  <c r="W27" i="35"/>
  <c r="W18" i="35"/>
  <c r="V18" i="35"/>
  <c r="W6" i="35"/>
  <c r="V6" i="35"/>
  <c r="V7" i="35" s="1"/>
  <c r="T42" i="35"/>
  <c r="T36" i="35"/>
  <c r="U27" i="35"/>
  <c r="U6" i="35"/>
  <c r="T6" i="35"/>
  <c r="T7" i="35" s="1"/>
  <c r="P42" i="35"/>
  <c r="P36" i="35"/>
  <c r="Q27" i="35"/>
  <c r="Q6" i="35"/>
  <c r="P6" i="35"/>
  <c r="P7" i="35" s="1"/>
  <c r="S27" i="35"/>
  <c r="S18" i="35"/>
  <c r="R18" i="35"/>
  <c r="S6" i="35"/>
  <c r="R6" i="35"/>
  <c r="R7" i="35" s="1"/>
  <c r="O27" i="35"/>
  <c r="O18" i="35"/>
  <c r="N18" i="35"/>
  <c r="O6" i="35"/>
  <c r="N6" i="35"/>
  <c r="N7" i="35" s="1"/>
  <c r="M16" i="35"/>
  <c r="L42" i="35"/>
  <c r="M27" i="35"/>
  <c r="M6" i="35"/>
  <c r="L6" i="35"/>
  <c r="L7" i="35" s="1"/>
  <c r="K27" i="35"/>
  <c r="K18" i="35"/>
  <c r="J18" i="35"/>
  <c r="K6" i="35"/>
  <c r="J6" i="35"/>
  <c r="J7" i="35" s="1"/>
  <c r="I27" i="35"/>
  <c r="I18" i="35"/>
  <c r="H18" i="35"/>
  <c r="I6" i="35"/>
  <c r="H6" i="35"/>
  <c r="H7" i="35" s="1"/>
  <c r="G16" i="35"/>
  <c r="E16" i="35"/>
  <c r="F42" i="35"/>
  <c r="G27" i="35"/>
  <c r="G6" i="35"/>
  <c r="F6" i="35"/>
  <c r="F7" i="35" s="1"/>
  <c r="D42" i="35"/>
  <c r="D36" i="35"/>
  <c r="C27" i="35"/>
  <c r="C18" i="35"/>
  <c r="B18" i="35"/>
  <c r="E27" i="35"/>
  <c r="E6" i="35"/>
  <c r="D6" i="35"/>
  <c r="D7" i="35" s="1"/>
  <c r="C6" i="35"/>
  <c r="B6" i="35"/>
  <c r="B7" i="35" s="1"/>
  <c r="K4" i="34"/>
  <c r="K6" i="34" s="1"/>
  <c r="K7" i="34" s="1"/>
  <c r="G5" i="34"/>
  <c r="G6" i="34" s="1"/>
  <c r="G4" i="34"/>
  <c r="C5" i="34"/>
  <c r="C4" i="34"/>
  <c r="Q16" i="34"/>
  <c r="Q27" i="34"/>
  <c r="M16" i="34"/>
  <c r="M27" i="34" s="1"/>
  <c r="L42" i="34"/>
  <c r="L36" i="34"/>
  <c r="O27" i="34"/>
  <c r="K27" i="34"/>
  <c r="P18" i="34"/>
  <c r="O18" i="34"/>
  <c r="N18" i="34"/>
  <c r="K18" i="34"/>
  <c r="J18" i="34"/>
  <c r="Q6" i="34"/>
  <c r="P6" i="34"/>
  <c r="P7" i="34" s="1"/>
  <c r="O6" i="34"/>
  <c r="O7" i="34"/>
  <c r="N6" i="34"/>
  <c r="M6" i="34"/>
  <c r="L6" i="34"/>
  <c r="L7" i="34"/>
  <c r="J6" i="34"/>
  <c r="G27" i="34"/>
  <c r="G18" i="34"/>
  <c r="F18" i="34"/>
  <c r="F6" i="34"/>
  <c r="F7" i="34"/>
  <c r="H6" i="34"/>
  <c r="I6" i="34"/>
  <c r="H7" i="34"/>
  <c r="I16" i="34"/>
  <c r="I27" i="34"/>
  <c r="E16" i="34"/>
  <c r="E18" i="34" s="1"/>
  <c r="D42" i="34"/>
  <c r="D36" i="34"/>
  <c r="E6" i="34"/>
  <c r="D6" i="34"/>
  <c r="D7" i="34"/>
  <c r="C27" i="34"/>
  <c r="C18" i="34"/>
  <c r="B18" i="34"/>
  <c r="B6" i="34"/>
  <c r="B7" i="34" s="1"/>
  <c r="S5" i="33"/>
  <c r="R5" i="33"/>
  <c r="R6" i="33" s="1"/>
  <c r="R7" i="33" s="1"/>
  <c r="S4" i="33"/>
  <c r="S6" i="33" s="1"/>
  <c r="W5" i="33"/>
  <c r="W4" i="33"/>
  <c r="Y16" i="33"/>
  <c r="U16" i="33"/>
  <c r="X42" i="33"/>
  <c r="X36" i="33"/>
  <c r="W27" i="33"/>
  <c r="W18" i="33"/>
  <c r="V18" i="33"/>
  <c r="Y6" i="33"/>
  <c r="X6" i="33"/>
  <c r="X7" i="33"/>
  <c r="W6" i="33"/>
  <c r="V6" i="33"/>
  <c r="V7" i="33"/>
  <c r="T42" i="33"/>
  <c r="T36" i="33"/>
  <c r="S27" i="33"/>
  <c r="S18" i="33"/>
  <c r="R18" i="33"/>
  <c r="U6" i="33"/>
  <c r="T6" i="33"/>
  <c r="T7" i="33"/>
  <c r="Q16" i="33"/>
  <c r="P18" i="33" s="1"/>
  <c r="M16" i="33"/>
  <c r="P42" i="33"/>
  <c r="L42" i="33"/>
  <c r="P36" i="33"/>
  <c r="L36" i="33"/>
  <c r="O27" i="33"/>
  <c r="M27" i="33"/>
  <c r="K27" i="33"/>
  <c r="O18" i="33"/>
  <c r="N18" i="33"/>
  <c r="M18" i="33"/>
  <c r="K18" i="33"/>
  <c r="J18" i="33"/>
  <c r="L18" i="33"/>
  <c r="Q6" i="33"/>
  <c r="P6" i="33"/>
  <c r="P7" i="33"/>
  <c r="O6" i="33"/>
  <c r="N6" i="33"/>
  <c r="N7" i="33"/>
  <c r="M6" i="33"/>
  <c r="L6" i="33"/>
  <c r="L7" i="33" s="1"/>
  <c r="K6" i="33"/>
  <c r="J6" i="33"/>
  <c r="J7" i="33" s="1"/>
  <c r="I16" i="33"/>
  <c r="E16" i="33"/>
  <c r="E18" i="33"/>
  <c r="H42" i="33"/>
  <c r="H36" i="33"/>
  <c r="G27" i="33"/>
  <c r="G18" i="33"/>
  <c r="F18" i="33"/>
  <c r="H18" i="33"/>
  <c r="I6" i="33"/>
  <c r="H6" i="33"/>
  <c r="H7" i="33"/>
  <c r="F6" i="33"/>
  <c r="F7" i="33" s="1"/>
  <c r="G6" i="33"/>
  <c r="D42" i="33"/>
  <c r="D36" i="33"/>
  <c r="E6" i="33"/>
  <c r="D6" i="33"/>
  <c r="D7" i="33"/>
  <c r="C27" i="33"/>
  <c r="C18" i="33"/>
  <c r="B18" i="33"/>
  <c r="B6" i="33"/>
  <c r="B7" i="33" s="1"/>
  <c r="C6" i="33"/>
  <c r="O4" i="32"/>
  <c r="O5" i="32"/>
  <c r="O27" i="32"/>
  <c r="O18" i="32"/>
  <c r="N18" i="32"/>
  <c r="N6" i="32"/>
  <c r="N7" i="32" s="1"/>
  <c r="L6" i="32"/>
  <c r="L7" i="32"/>
  <c r="M27" i="32"/>
  <c r="M18" i="32"/>
  <c r="L18" i="32"/>
  <c r="M5" i="32"/>
  <c r="M4" i="32"/>
  <c r="I27" i="32"/>
  <c r="I18" i="32"/>
  <c r="H18" i="32"/>
  <c r="I5" i="32"/>
  <c r="I6" i="32" s="1"/>
  <c r="H6" i="32"/>
  <c r="H7" i="32"/>
  <c r="I4" i="32"/>
  <c r="Q16" i="32"/>
  <c r="Q18" i="32" s="1"/>
  <c r="Q6" i="32"/>
  <c r="P6" i="32"/>
  <c r="P7" i="32" s="1"/>
  <c r="K16" i="32"/>
  <c r="K18" i="32" s="1"/>
  <c r="J42" i="32"/>
  <c r="J36" i="32"/>
  <c r="K6" i="32"/>
  <c r="J6" i="32"/>
  <c r="J7" i="32"/>
  <c r="E5" i="32"/>
  <c r="E6" i="32" s="1"/>
  <c r="E4" i="32"/>
  <c r="C5" i="32"/>
  <c r="C4" i="32"/>
  <c r="E27" i="32"/>
  <c r="C27" i="32"/>
  <c r="E18" i="32"/>
  <c r="D18" i="32"/>
  <c r="C18" i="32"/>
  <c r="B18" i="32"/>
  <c r="G16" i="32"/>
  <c r="G27" i="32"/>
  <c r="G6" i="32"/>
  <c r="F6" i="32"/>
  <c r="F7" i="32"/>
  <c r="D6" i="32"/>
  <c r="D7" i="32"/>
  <c r="B6" i="32"/>
  <c r="B7" i="32"/>
  <c r="E27" i="31"/>
  <c r="E18" i="31"/>
  <c r="D18" i="31"/>
  <c r="G16" i="31"/>
  <c r="D6" i="31"/>
  <c r="D7" i="31"/>
  <c r="E5" i="31"/>
  <c r="E6" i="31" s="1"/>
  <c r="E9" i="31" s="1"/>
  <c r="E24" i="31" s="1"/>
  <c r="E26" i="31" s="1"/>
  <c r="C5" i="31"/>
  <c r="E4" i="31"/>
  <c r="C4" i="31"/>
  <c r="C27" i="31"/>
  <c r="C18" i="31"/>
  <c r="B18" i="31"/>
  <c r="G27" i="31"/>
  <c r="G6" i="31"/>
  <c r="F6" i="31"/>
  <c r="F7" i="31" s="1"/>
  <c r="B6" i="31"/>
  <c r="B7" i="31"/>
  <c r="R6" i="30"/>
  <c r="R7" i="30" s="1"/>
  <c r="S4" i="30"/>
  <c r="S5" i="30"/>
  <c r="S6" i="30" s="1"/>
  <c r="S9" i="30" s="1"/>
  <c r="S24" i="30" s="1"/>
  <c r="G5" i="30"/>
  <c r="G4" i="30"/>
  <c r="K5" i="30"/>
  <c r="K4" i="30"/>
  <c r="I5" i="30"/>
  <c r="I6" i="30" s="1"/>
  <c r="I4" i="30"/>
  <c r="C5" i="30"/>
  <c r="C4" i="30"/>
  <c r="C6" i="30" s="1"/>
  <c r="O4" i="30"/>
  <c r="O6" i="30" s="1"/>
  <c r="O9" i="30" s="1"/>
  <c r="O5" i="30"/>
  <c r="W16" i="30"/>
  <c r="W27" i="30" s="1"/>
  <c r="V18" i="30"/>
  <c r="W6" i="30"/>
  <c r="V6" i="30"/>
  <c r="W9" i="30"/>
  <c r="W24" i="30"/>
  <c r="V7" i="30"/>
  <c r="U27" i="30"/>
  <c r="U18" i="30"/>
  <c r="T18" i="30"/>
  <c r="U6" i="30"/>
  <c r="T6" i="30"/>
  <c r="U9" i="30"/>
  <c r="U24" i="30"/>
  <c r="T7" i="30"/>
  <c r="S27" i="30"/>
  <c r="S18" i="30"/>
  <c r="R18" i="30"/>
  <c r="Q16" i="30"/>
  <c r="Q27" i="30" s="1"/>
  <c r="P18" i="30"/>
  <c r="Q6" i="30"/>
  <c r="P6" i="30"/>
  <c r="P7" i="30"/>
  <c r="N6" i="30"/>
  <c r="N7" i="30" s="1"/>
  <c r="O27" i="30"/>
  <c r="O18" i="30"/>
  <c r="N18" i="30"/>
  <c r="M16" i="30"/>
  <c r="M6" i="30"/>
  <c r="L6" i="30"/>
  <c r="L7" i="30"/>
  <c r="K27" i="30"/>
  <c r="K18" i="30"/>
  <c r="J18" i="30"/>
  <c r="K6" i="30"/>
  <c r="J6" i="30"/>
  <c r="J7" i="30" s="1"/>
  <c r="I27" i="30"/>
  <c r="I18" i="30"/>
  <c r="H18" i="30"/>
  <c r="H6" i="30"/>
  <c r="H7" i="30"/>
  <c r="G27" i="30"/>
  <c r="G18" i="30"/>
  <c r="F18" i="30"/>
  <c r="G6" i="30"/>
  <c r="F6" i="30"/>
  <c r="F7" i="30" s="1"/>
  <c r="E16" i="30"/>
  <c r="E27" i="30"/>
  <c r="C27" i="30"/>
  <c r="C18" i="30"/>
  <c r="B18" i="30"/>
  <c r="E6" i="30"/>
  <c r="E7" i="30" s="1"/>
  <c r="D6" i="30"/>
  <c r="B6" i="30"/>
  <c r="B7" i="30"/>
  <c r="G16" i="29"/>
  <c r="G27" i="29"/>
  <c r="G6" i="29"/>
  <c r="G9" i="29" s="1"/>
  <c r="G24" i="29" s="1"/>
  <c r="F6" i="29"/>
  <c r="F7" i="29" s="1"/>
  <c r="C5" i="29"/>
  <c r="C4" i="29"/>
  <c r="E16" i="29"/>
  <c r="E27" i="29" s="1"/>
  <c r="C27" i="29"/>
  <c r="C18" i="29"/>
  <c r="B18" i="29"/>
  <c r="E6" i="29"/>
  <c r="E7" i="29"/>
  <c r="D6" i="29"/>
  <c r="D7" i="29"/>
  <c r="B6" i="29"/>
  <c r="B7" i="29"/>
  <c r="AM16" i="19"/>
  <c r="AM27" i="19" s="1"/>
  <c r="AK16" i="19"/>
  <c r="AK27" i="19" s="1"/>
  <c r="AI5" i="19"/>
  <c r="AI27" i="19"/>
  <c r="AI18" i="19"/>
  <c r="AH18" i="19"/>
  <c r="AH6" i="19"/>
  <c r="AH7" i="19"/>
  <c r="AI4" i="19"/>
  <c r="AI6" i="19" s="1"/>
  <c r="AI9" i="19" s="1"/>
  <c r="AI24" i="19" s="1"/>
  <c r="AM6" i="19"/>
  <c r="AL6" i="19"/>
  <c r="AL7" i="19"/>
  <c r="AK6" i="19"/>
  <c r="AJ6" i="19"/>
  <c r="AJ7" i="19" s="1"/>
  <c r="AC27" i="17"/>
  <c r="AC18" i="17"/>
  <c r="AB18" i="17"/>
  <c r="AB6" i="17"/>
  <c r="AB7" i="17"/>
  <c r="AC5" i="17"/>
  <c r="AC4" i="17"/>
  <c r="U16" i="28"/>
  <c r="S27" i="28"/>
  <c r="S18" i="28"/>
  <c r="R18" i="28"/>
  <c r="S6" i="28"/>
  <c r="R6" i="28"/>
  <c r="R7" i="28" s="1"/>
  <c r="K16" i="28"/>
  <c r="K27" i="28" s="1"/>
  <c r="E5" i="28"/>
  <c r="E4" i="28"/>
  <c r="C5" i="28"/>
  <c r="C4" i="28"/>
  <c r="C6" i="28" s="1"/>
  <c r="G16" i="28"/>
  <c r="Q27" i="28"/>
  <c r="O27" i="28"/>
  <c r="M27" i="28"/>
  <c r="I27" i="28"/>
  <c r="E27" i="28"/>
  <c r="C27" i="28"/>
  <c r="Q18" i="28"/>
  <c r="P18" i="28"/>
  <c r="O18" i="28"/>
  <c r="N18" i="28"/>
  <c r="M18" i="28"/>
  <c r="L18" i="28"/>
  <c r="I18" i="28"/>
  <c r="H18" i="28"/>
  <c r="E18" i="28"/>
  <c r="D18" i="28"/>
  <c r="C18" i="28"/>
  <c r="B18" i="28"/>
  <c r="U27" i="28"/>
  <c r="U6" i="28"/>
  <c r="T6" i="28"/>
  <c r="Q6" i="28"/>
  <c r="P6" i="28"/>
  <c r="P7" i="28" s="1"/>
  <c r="O6" i="28"/>
  <c r="N6" i="28"/>
  <c r="L6" i="28"/>
  <c r="L7" i="28" s="1"/>
  <c r="K6" i="28"/>
  <c r="J6" i="28"/>
  <c r="J7" i="28" s="1"/>
  <c r="H6" i="28"/>
  <c r="H7" i="28" s="1"/>
  <c r="G6" i="28"/>
  <c r="F6" i="28"/>
  <c r="F7" i="28"/>
  <c r="D6" i="28"/>
  <c r="D7" i="28"/>
  <c r="B6" i="28"/>
  <c r="B7" i="28" s="1"/>
  <c r="I6" i="28"/>
  <c r="AE34" i="24"/>
  <c r="B6" i="23"/>
  <c r="B7" i="23" s="1"/>
  <c r="C6" i="23"/>
  <c r="C7" i="23" s="1"/>
  <c r="D6" i="23"/>
  <c r="E6" i="23"/>
  <c r="F6" i="23"/>
  <c r="G6" i="23"/>
  <c r="H6" i="23"/>
  <c r="I9" i="23" s="1"/>
  <c r="I6" i="23"/>
  <c r="J6" i="23"/>
  <c r="K6" i="23"/>
  <c r="K9" i="23" s="1"/>
  <c r="K24" i="23" s="1"/>
  <c r="L6" i="23"/>
  <c r="L7" i="23" s="1"/>
  <c r="M6" i="23"/>
  <c r="M9" i="23" s="1"/>
  <c r="M24" i="23" s="1"/>
  <c r="N6" i="23"/>
  <c r="O6" i="23"/>
  <c r="P6" i="23"/>
  <c r="Q9" i="23"/>
  <c r="Q24" i="23" s="1"/>
  <c r="Q6" i="23"/>
  <c r="R6" i="23"/>
  <c r="S6" i="23"/>
  <c r="T6" i="23"/>
  <c r="U6" i="23"/>
  <c r="V6" i="23"/>
  <c r="W6" i="23"/>
  <c r="X6" i="23"/>
  <c r="Y24" i="23"/>
  <c r="Y6" i="23"/>
  <c r="Y9" i="23" s="1"/>
  <c r="D7" i="23"/>
  <c r="F7" i="23"/>
  <c r="G7" i="23"/>
  <c r="G8" i="23" s="1"/>
  <c r="H7" i="23"/>
  <c r="I8" i="23" s="1"/>
  <c r="I7" i="23"/>
  <c r="J7" i="23"/>
  <c r="M7" i="23"/>
  <c r="O7" i="23"/>
  <c r="P7" i="23"/>
  <c r="Q8" i="23"/>
  <c r="Q7" i="23"/>
  <c r="R7" i="23"/>
  <c r="T7" i="23"/>
  <c r="U8" i="23" s="1"/>
  <c r="U7" i="23"/>
  <c r="V7" i="23"/>
  <c r="X7" i="23"/>
  <c r="Y21" i="23"/>
  <c r="Y7" i="23"/>
  <c r="Y8" i="23" s="1"/>
  <c r="G9" i="23"/>
  <c r="E16" i="23"/>
  <c r="E18" i="23"/>
  <c r="G16" i="23"/>
  <c r="K16" i="23"/>
  <c r="M16" i="23"/>
  <c r="Q16" i="23"/>
  <c r="P18" i="23" s="1"/>
  <c r="S16" i="23"/>
  <c r="W16" i="23"/>
  <c r="W18" i="23"/>
  <c r="Y16" i="23"/>
  <c r="Y27" i="23" s="1"/>
  <c r="B18" i="23"/>
  <c r="C18" i="23"/>
  <c r="D18" i="23"/>
  <c r="F18" i="23"/>
  <c r="H18" i="23"/>
  <c r="I18" i="23"/>
  <c r="L18" i="23"/>
  <c r="M18" i="23"/>
  <c r="N18" i="23"/>
  <c r="O18" i="23"/>
  <c r="R18" i="23"/>
  <c r="S18" i="23"/>
  <c r="T18" i="23"/>
  <c r="U18" i="23"/>
  <c r="V18" i="23"/>
  <c r="X18" i="23"/>
  <c r="Y18" i="23"/>
  <c r="G24" i="23"/>
  <c r="C27" i="23"/>
  <c r="I27" i="23"/>
  <c r="M27" i="23"/>
  <c r="O27" i="23"/>
  <c r="S27" i="23"/>
  <c r="U27" i="23"/>
  <c r="W27" i="23"/>
  <c r="B6" i="9"/>
  <c r="B7" i="9" s="1"/>
  <c r="C6" i="9"/>
  <c r="D6" i="9"/>
  <c r="E6" i="9"/>
  <c r="E9" i="9"/>
  <c r="F6" i="9"/>
  <c r="G9" i="9" s="1"/>
  <c r="G24" i="9" s="1"/>
  <c r="G6" i="9"/>
  <c r="C7" i="9"/>
  <c r="C8" i="9" s="1"/>
  <c r="D7" i="9"/>
  <c r="E7" i="9"/>
  <c r="F7" i="9"/>
  <c r="G8" i="9" s="1"/>
  <c r="G7" i="9"/>
  <c r="E8" i="9"/>
  <c r="C9" i="9"/>
  <c r="C24" i="9"/>
  <c r="B18" i="9"/>
  <c r="C18" i="9"/>
  <c r="D18" i="9"/>
  <c r="E18" i="9"/>
  <c r="F18" i="9"/>
  <c r="G18" i="9"/>
  <c r="E21" i="9"/>
  <c r="C27" i="9"/>
  <c r="E27" i="9"/>
  <c r="E28" i="9" s="1"/>
  <c r="G27" i="9"/>
  <c r="E4" i="12"/>
  <c r="J4" i="12"/>
  <c r="K4" i="12"/>
  <c r="P4" i="12"/>
  <c r="Q4" i="12"/>
  <c r="J5" i="12"/>
  <c r="J6" i="12" s="1"/>
  <c r="J7" i="12" s="1"/>
  <c r="K5" i="12"/>
  <c r="P5" i="12"/>
  <c r="Q5" i="12"/>
  <c r="B6" i="12"/>
  <c r="C6" i="12"/>
  <c r="D6" i="12"/>
  <c r="E6" i="12"/>
  <c r="F6" i="12"/>
  <c r="G6" i="12"/>
  <c r="G9" i="12"/>
  <c r="H6" i="12"/>
  <c r="I6" i="12"/>
  <c r="K6" i="12"/>
  <c r="K7" i="12" s="1"/>
  <c r="K9" i="12"/>
  <c r="L6" i="12"/>
  <c r="M6" i="12"/>
  <c r="M9" i="12"/>
  <c r="M24" i="12"/>
  <c r="N6" i="12"/>
  <c r="O6" i="12"/>
  <c r="O9" i="12"/>
  <c r="O24" i="12"/>
  <c r="P6" i="12"/>
  <c r="Q6" i="12"/>
  <c r="B7" i="12"/>
  <c r="C7" i="12"/>
  <c r="D7" i="12"/>
  <c r="F7" i="12"/>
  <c r="G7" i="12"/>
  <c r="G8" i="12"/>
  <c r="H7" i="12"/>
  <c r="I8" i="12" s="1"/>
  <c r="I21" i="12" s="1"/>
  <c r="I7" i="12"/>
  <c r="L7" i="12"/>
  <c r="M7" i="12"/>
  <c r="M8" i="12"/>
  <c r="N7" i="12"/>
  <c r="O8" i="12" s="1"/>
  <c r="O7" i="12"/>
  <c r="P7" i="12"/>
  <c r="Q8" i="12" s="1"/>
  <c r="Q21" i="12" s="1"/>
  <c r="Q7" i="12"/>
  <c r="I9" i="12"/>
  <c r="I24" i="12" s="1"/>
  <c r="Q9" i="12"/>
  <c r="B18" i="12"/>
  <c r="C18" i="12"/>
  <c r="D18" i="12"/>
  <c r="E18" i="12"/>
  <c r="F18" i="12"/>
  <c r="G18" i="12"/>
  <c r="H18" i="12"/>
  <c r="I18" i="12"/>
  <c r="J18" i="12"/>
  <c r="K18" i="12"/>
  <c r="P18" i="12"/>
  <c r="Q18" i="12"/>
  <c r="Q24" i="12"/>
  <c r="C27" i="12"/>
  <c r="E27" i="12"/>
  <c r="G27" i="12"/>
  <c r="I27" i="12"/>
  <c r="K27" i="12"/>
  <c r="Q27" i="12"/>
  <c r="Q31" i="12"/>
  <c r="B6" i="25"/>
  <c r="C6" i="25"/>
  <c r="C9" i="25" s="1"/>
  <c r="B7" i="25"/>
  <c r="C8" i="25" s="1"/>
  <c r="C7" i="25"/>
  <c r="B18" i="25"/>
  <c r="C18" i="25"/>
  <c r="B22" i="25"/>
  <c r="C22" i="25"/>
  <c r="C23" i="25" s="1"/>
  <c r="C27" i="25"/>
  <c r="C28" i="25"/>
  <c r="C29" i="25" s="1"/>
  <c r="C30" i="25" s="1"/>
  <c r="C4" i="4"/>
  <c r="E4" i="4"/>
  <c r="O4" i="4"/>
  <c r="Q4" i="4"/>
  <c r="S4" i="4"/>
  <c r="S6" i="4" s="1"/>
  <c r="U4" i="4"/>
  <c r="C5" i="4"/>
  <c r="E5" i="4"/>
  <c r="O5" i="4"/>
  <c r="O6" i="4" s="1"/>
  <c r="Q5" i="4"/>
  <c r="S5" i="4"/>
  <c r="U5" i="4"/>
  <c r="B6" i="4"/>
  <c r="D6" i="4"/>
  <c r="D7" i="4"/>
  <c r="E6" i="4"/>
  <c r="E7" i="4" s="1"/>
  <c r="F6" i="4"/>
  <c r="G6" i="4"/>
  <c r="H6" i="4"/>
  <c r="H7" i="4" s="1"/>
  <c r="I6" i="4"/>
  <c r="J6" i="4"/>
  <c r="K6" i="4"/>
  <c r="L6" i="4"/>
  <c r="L7" i="4" s="1"/>
  <c r="M8" i="4" s="1"/>
  <c r="M21" i="4" s="1"/>
  <c r="M6" i="4"/>
  <c r="N6" i="4"/>
  <c r="N7" i="4"/>
  <c r="P6" i="4"/>
  <c r="P7" i="4" s="1"/>
  <c r="Q6" i="4"/>
  <c r="Q9" i="4" s="1"/>
  <c r="Q24" i="4" s="1"/>
  <c r="R6" i="4"/>
  <c r="T6" i="4"/>
  <c r="T7" i="4"/>
  <c r="U6" i="4"/>
  <c r="V6" i="4"/>
  <c r="W6" i="4"/>
  <c r="W9" i="4" s="1"/>
  <c r="B7" i="4"/>
  <c r="I7" i="4"/>
  <c r="M7" i="4"/>
  <c r="Q8" i="4"/>
  <c r="Q21" i="4" s="1"/>
  <c r="Q28" i="4" s="1"/>
  <c r="Q7" i="4"/>
  <c r="R7" i="4"/>
  <c r="U7" i="4"/>
  <c r="W7" i="4"/>
  <c r="F13" i="4"/>
  <c r="G13" i="4"/>
  <c r="H13" i="4"/>
  <c r="I13" i="4"/>
  <c r="J13" i="4"/>
  <c r="K13" i="4"/>
  <c r="L13" i="4"/>
  <c r="M13" i="4"/>
  <c r="F14" i="4"/>
  <c r="G14" i="4"/>
  <c r="H14" i="4"/>
  <c r="I14" i="4"/>
  <c r="J14" i="4"/>
  <c r="K14" i="4"/>
  <c r="K15" i="4" s="1"/>
  <c r="L14" i="4"/>
  <c r="M14" i="4"/>
  <c r="F15" i="4"/>
  <c r="F16" i="4" s="1"/>
  <c r="G15" i="4"/>
  <c r="G17" i="4" s="1"/>
  <c r="H15" i="4"/>
  <c r="I15" i="4"/>
  <c r="J15" i="4"/>
  <c r="L15" i="4"/>
  <c r="M15" i="4"/>
  <c r="B18" i="4"/>
  <c r="C18" i="4"/>
  <c r="D18" i="4"/>
  <c r="E18" i="4"/>
  <c r="N18" i="4"/>
  <c r="O18" i="4"/>
  <c r="P18" i="4"/>
  <c r="Q18" i="4"/>
  <c r="R18" i="4"/>
  <c r="S18" i="4"/>
  <c r="T18" i="4"/>
  <c r="U18" i="4"/>
  <c r="V18" i="4"/>
  <c r="W18" i="4"/>
  <c r="W24" i="4"/>
  <c r="C27" i="4"/>
  <c r="E27" i="4"/>
  <c r="G27" i="4"/>
  <c r="I27" i="4"/>
  <c r="K27" i="4"/>
  <c r="M27" i="4"/>
  <c r="O27" i="4"/>
  <c r="Q27" i="4"/>
  <c r="S27" i="4"/>
  <c r="U27" i="4"/>
  <c r="W27" i="4"/>
  <c r="W31" i="4" s="1"/>
  <c r="B6" i="8"/>
  <c r="C6" i="8"/>
  <c r="D6" i="8"/>
  <c r="E9" i="8"/>
  <c r="E6" i="8"/>
  <c r="E7" i="8" s="1"/>
  <c r="C7" i="8"/>
  <c r="D7" i="8"/>
  <c r="B18" i="8"/>
  <c r="C18" i="8"/>
  <c r="D18" i="8"/>
  <c r="E18" i="8"/>
  <c r="C27" i="8"/>
  <c r="E27" i="8"/>
  <c r="C4" i="18"/>
  <c r="C6" i="18" s="1"/>
  <c r="C9" i="18" s="1"/>
  <c r="C24" i="18" s="1"/>
  <c r="E4" i="18"/>
  <c r="C5" i="18"/>
  <c r="C7" i="18"/>
  <c r="C8" i="18" s="1"/>
  <c r="E5" i="18"/>
  <c r="B6" i="18"/>
  <c r="D6" i="18"/>
  <c r="E9" i="18"/>
  <c r="E6" i="18"/>
  <c r="B7" i="18"/>
  <c r="E7" i="18"/>
  <c r="B18" i="18"/>
  <c r="C18" i="18"/>
  <c r="D18" i="18"/>
  <c r="E18" i="18"/>
  <c r="C27" i="18"/>
  <c r="E27" i="18"/>
  <c r="B6" i="15"/>
  <c r="C6" i="15"/>
  <c r="D6" i="15"/>
  <c r="E9" i="15" s="1"/>
  <c r="E6" i="15"/>
  <c r="F6" i="15"/>
  <c r="G9" i="15"/>
  <c r="G6" i="15"/>
  <c r="H6" i="15"/>
  <c r="I6" i="15"/>
  <c r="J6" i="15"/>
  <c r="K6" i="15"/>
  <c r="L6" i="15"/>
  <c r="M6" i="15"/>
  <c r="N6" i="15"/>
  <c r="N7" i="15" s="1"/>
  <c r="O6" i="15"/>
  <c r="O9" i="15" s="1"/>
  <c r="O24" i="15" s="1"/>
  <c r="P6" i="15"/>
  <c r="Q6" i="15"/>
  <c r="R6" i="15"/>
  <c r="S9" i="15"/>
  <c r="S24" i="15"/>
  <c r="S6" i="15"/>
  <c r="B7" i="15"/>
  <c r="D7" i="15"/>
  <c r="E8" i="15" s="1"/>
  <c r="E7" i="15"/>
  <c r="F7" i="15"/>
  <c r="G7" i="15"/>
  <c r="H7" i="15"/>
  <c r="I21" i="15"/>
  <c r="I7" i="15"/>
  <c r="I8" i="15" s="1"/>
  <c r="K7" i="15"/>
  <c r="L7" i="15"/>
  <c r="Q7" i="15"/>
  <c r="R7" i="15"/>
  <c r="S8" i="15" s="1"/>
  <c r="S21" i="15" s="1"/>
  <c r="S7" i="15"/>
  <c r="E24" i="15"/>
  <c r="I9" i="15"/>
  <c r="I24" i="15" s="1"/>
  <c r="E16" i="15"/>
  <c r="E18" i="15"/>
  <c r="I16" i="15"/>
  <c r="O16" i="15"/>
  <c r="O18" i="15"/>
  <c r="S16" i="15"/>
  <c r="R18" i="15" s="1"/>
  <c r="B18" i="15"/>
  <c r="C18" i="15"/>
  <c r="D18" i="15"/>
  <c r="F18" i="15"/>
  <c r="G18" i="15"/>
  <c r="J18" i="15"/>
  <c r="K18" i="15"/>
  <c r="L18" i="15"/>
  <c r="M18" i="15"/>
  <c r="N18" i="15"/>
  <c r="P18" i="15"/>
  <c r="Q18" i="15"/>
  <c r="S18" i="15"/>
  <c r="C27" i="15"/>
  <c r="G27" i="15"/>
  <c r="K27" i="15"/>
  <c r="M27" i="15"/>
  <c r="O27" i="15"/>
  <c r="Q27" i="15"/>
  <c r="S27" i="15"/>
  <c r="B6" i="16"/>
  <c r="C9" i="16"/>
  <c r="C6" i="16"/>
  <c r="D6" i="16"/>
  <c r="E6" i="16"/>
  <c r="F6" i="16"/>
  <c r="G6" i="16"/>
  <c r="H6" i="16"/>
  <c r="I6" i="16"/>
  <c r="J6" i="16"/>
  <c r="K6" i="16"/>
  <c r="L6" i="16"/>
  <c r="L7" i="16" s="1"/>
  <c r="M6" i="16"/>
  <c r="N6" i="16"/>
  <c r="O6" i="16"/>
  <c r="P6" i="16"/>
  <c r="Q6" i="16"/>
  <c r="R6" i="16"/>
  <c r="S9" i="16"/>
  <c r="S24" i="16" s="1"/>
  <c r="S6" i="16"/>
  <c r="B7" i="16"/>
  <c r="C7" i="16"/>
  <c r="D7" i="16"/>
  <c r="E7" i="16"/>
  <c r="G7" i="16"/>
  <c r="H7" i="16"/>
  <c r="K7" i="16"/>
  <c r="N7" i="16"/>
  <c r="P7" i="16"/>
  <c r="Q7" i="16"/>
  <c r="R7" i="16"/>
  <c r="S8" i="16" s="1"/>
  <c r="S21" i="16" s="1"/>
  <c r="S7" i="16"/>
  <c r="E9" i="16"/>
  <c r="E24" i="16" s="1"/>
  <c r="Q9" i="16"/>
  <c r="Q24" i="16" s="1"/>
  <c r="E16" i="16"/>
  <c r="E18" i="16"/>
  <c r="I16" i="16"/>
  <c r="H18" i="16" s="1"/>
  <c r="O16" i="16"/>
  <c r="O18" i="16"/>
  <c r="S16" i="16"/>
  <c r="S18" i="16" s="1"/>
  <c r="B18" i="16"/>
  <c r="C18" i="16"/>
  <c r="D18" i="16"/>
  <c r="F18" i="16"/>
  <c r="G18" i="16"/>
  <c r="I18" i="16"/>
  <c r="J18" i="16"/>
  <c r="K18" i="16"/>
  <c r="L18" i="16"/>
  <c r="M18" i="16"/>
  <c r="N18" i="16"/>
  <c r="P18" i="16"/>
  <c r="Q18" i="16"/>
  <c r="R18" i="16"/>
  <c r="C27" i="16"/>
  <c r="G27" i="16"/>
  <c r="I27" i="16"/>
  <c r="K27" i="16"/>
  <c r="M27" i="16"/>
  <c r="O27" i="16"/>
  <c r="Q27" i="16"/>
  <c r="S27" i="16"/>
  <c r="S28" i="16"/>
  <c r="B6" i="14"/>
  <c r="B7" i="14" s="1"/>
  <c r="C6" i="14"/>
  <c r="D6" i="14"/>
  <c r="D7" i="14" s="1"/>
  <c r="E6" i="14"/>
  <c r="F6" i="14"/>
  <c r="G6" i="14"/>
  <c r="G9" i="14" s="1"/>
  <c r="H6" i="14"/>
  <c r="I6" i="14"/>
  <c r="J6" i="14"/>
  <c r="J7" i="14" s="1"/>
  <c r="K8" i="14" s="1"/>
  <c r="K21" i="14" s="1"/>
  <c r="K28" i="14" s="1"/>
  <c r="K9" i="14"/>
  <c r="K24" i="14"/>
  <c r="K6" i="14"/>
  <c r="L6" i="14"/>
  <c r="M6" i="14"/>
  <c r="M7" i="14" s="1"/>
  <c r="N6" i="14"/>
  <c r="N7" i="14" s="1"/>
  <c r="O6" i="14"/>
  <c r="O7" i="14" s="1"/>
  <c r="P6" i="14"/>
  <c r="Q9" i="14" s="1"/>
  <c r="Q24" i="14" s="1"/>
  <c r="Q6" i="14"/>
  <c r="R6" i="14"/>
  <c r="S9" i="14"/>
  <c r="S24" i="14"/>
  <c r="S6" i="14"/>
  <c r="T6" i="14"/>
  <c r="T7" i="14" s="1"/>
  <c r="U6" i="14"/>
  <c r="U9" i="14" s="1"/>
  <c r="U24" i="14" s="1"/>
  <c r="V6" i="14"/>
  <c r="V7" i="14" s="1"/>
  <c r="W6" i="14"/>
  <c r="X6" i="14"/>
  <c r="Y6" i="14"/>
  <c r="Z6" i="14"/>
  <c r="Z7" i="14" s="1"/>
  <c r="AA8" i="14" s="1"/>
  <c r="AA21" i="14" s="1"/>
  <c r="AA9" i="14"/>
  <c r="AA24" i="14"/>
  <c r="AA6" i="14"/>
  <c r="C7" i="14"/>
  <c r="F7" i="14"/>
  <c r="G8" i="14" s="1"/>
  <c r="G21" i="14" s="1"/>
  <c r="G7" i="14"/>
  <c r="I7" i="14"/>
  <c r="K7" i="14"/>
  <c r="L7" i="14"/>
  <c r="M8" i="14"/>
  <c r="M21" i="14" s="1"/>
  <c r="P7" i="14"/>
  <c r="Q8" i="14" s="1"/>
  <c r="Q7" i="14"/>
  <c r="R7" i="14"/>
  <c r="S8" i="14" s="1"/>
  <c r="S21" i="14" s="1"/>
  <c r="S7" i="14"/>
  <c r="U7" i="14"/>
  <c r="Y7" i="14"/>
  <c r="AA7" i="14"/>
  <c r="M9" i="14"/>
  <c r="M24" i="14" s="1"/>
  <c r="E16" i="14"/>
  <c r="I16" i="14"/>
  <c r="O16" i="14"/>
  <c r="S16" i="14"/>
  <c r="W16" i="14"/>
  <c r="W18" i="14"/>
  <c r="AA16" i="14"/>
  <c r="Z18" i="14" s="1"/>
  <c r="B18" i="14"/>
  <c r="C18" i="14"/>
  <c r="F18" i="14"/>
  <c r="G18" i="14"/>
  <c r="H18" i="14"/>
  <c r="I18" i="14"/>
  <c r="J18" i="14"/>
  <c r="K18" i="14"/>
  <c r="L18" i="14"/>
  <c r="M18" i="14"/>
  <c r="P18" i="14"/>
  <c r="Q18" i="14"/>
  <c r="R18" i="14"/>
  <c r="S18" i="14"/>
  <c r="T18" i="14"/>
  <c r="U18" i="14"/>
  <c r="V18" i="14"/>
  <c r="X18" i="14"/>
  <c r="Y18" i="14"/>
  <c r="AA18" i="14"/>
  <c r="C27" i="14"/>
  <c r="G27" i="14"/>
  <c r="G28" i="14" s="1"/>
  <c r="I27" i="14"/>
  <c r="K27" i="14"/>
  <c r="M27" i="14"/>
  <c r="Q27" i="14"/>
  <c r="S27" i="14"/>
  <c r="U27" i="14"/>
  <c r="Y27" i="14"/>
  <c r="AA27" i="14"/>
  <c r="AA28" i="14" s="1"/>
  <c r="S28" i="14"/>
  <c r="M4" i="17"/>
  <c r="Q4" i="17"/>
  <c r="M5" i="17"/>
  <c r="M6" i="17" s="1"/>
  <c r="M7" i="17" s="1"/>
  <c r="Q5" i="17"/>
  <c r="Q6" i="17" s="1"/>
  <c r="B6" i="17"/>
  <c r="B7" i="17" s="1"/>
  <c r="C9" i="17"/>
  <c r="C24" i="17" s="1"/>
  <c r="C6" i="17"/>
  <c r="D6" i="17"/>
  <c r="D7" i="17" s="1"/>
  <c r="E6" i="17"/>
  <c r="F6" i="17"/>
  <c r="G6" i="17"/>
  <c r="H6" i="17"/>
  <c r="I6" i="17"/>
  <c r="J6" i="17"/>
  <c r="J7" i="17" s="1"/>
  <c r="K8" i="17" s="1"/>
  <c r="K9" i="17"/>
  <c r="K24" i="17" s="1"/>
  <c r="K6" i="17"/>
  <c r="L6" i="17"/>
  <c r="N6" i="17"/>
  <c r="O6" i="17"/>
  <c r="P6" i="17"/>
  <c r="P7" i="17" s="1"/>
  <c r="R6" i="17"/>
  <c r="S9" i="17"/>
  <c r="S24" i="17"/>
  <c r="S6" i="17"/>
  <c r="T6" i="17"/>
  <c r="U6" i="17"/>
  <c r="V6" i="17"/>
  <c r="V7" i="17" s="1"/>
  <c r="W6" i="17"/>
  <c r="X6" i="17"/>
  <c r="Y6" i="17"/>
  <c r="Z6" i="17"/>
  <c r="AA9" i="17"/>
  <c r="AA24" i="17"/>
  <c r="AA31" i="17" s="1"/>
  <c r="AA6" i="17"/>
  <c r="C7" i="17"/>
  <c r="C8" i="17" s="1"/>
  <c r="C21" i="17" s="1"/>
  <c r="F7" i="17"/>
  <c r="H7" i="17"/>
  <c r="I7" i="17"/>
  <c r="I8" i="17" s="1"/>
  <c r="I21" i="17" s="1"/>
  <c r="I30" i="17" s="1"/>
  <c r="K7" i="17"/>
  <c r="N7" i="17"/>
  <c r="Q7" i="17"/>
  <c r="R7" i="17"/>
  <c r="S7" i="17"/>
  <c r="T7" i="17"/>
  <c r="Y7" i="17"/>
  <c r="Z7" i="17"/>
  <c r="AA7" i="17"/>
  <c r="AA8" i="17" s="1"/>
  <c r="AA21" i="17" s="1"/>
  <c r="S8" i="17"/>
  <c r="I9" i="17"/>
  <c r="I24" i="17"/>
  <c r="Q9" i="17"/>
  <c r="Q24" i="17" s="1"/>
  <c r="E16" i="17"/>
  <c r="I16" i="17"/>
  <c r="I18" i="17" s="1"/>
  <c r="O16" i="17"/>
  <c r="S16" i="17"/>
  <c r="W16" i="17"/>
  <c r="AA16" i="17"/>
  <c r="AA18" i="17" s="1"/>
  <c r="B18" i="17"/>
  <c r="C18" i="17"/>
  <c r="D18" i="17"/>
  <c r="F18" i="17"/>
  <c r="G18" i="17"/>
  <c r="H18" i="17"/>
  <c r="J18" i="17"/>
  <c r="K18" i="17"/>
  <c r="L18" i="17"/>
  <c r="M18" i="17"/>
  <c r="P18" i="17"/>
  <c r="Q18" i="17"/>
  <c r="T18" i="17"/>
  <c r="U18" i="17"/>
  <c r="V18" i="17"/>
  <c r="X18" i="17"/>
  <c r="Y18" i="17"/>
  <c r="Z18" i="17"/>
  <c r="K21" i="17"/>
  <c r="C27" i="17"/>
  <c r="E27" i="17"/>
  <c r="G27" i="17"/>
  <c r="I27" i="17"/>
  <c r="K27" i="17"/>
  <c r="M27" i="17"/>
  <c r="Q27" i="17"/>
  <c r="U27" i="17"/>
  <c r="Y27" i="17"/>
  <c r="AA27" i="17"/>
  <c r="U4" i="20"/>
  <c r="AA4" i="20"/>
  <c r="AE4" i="20"/>
  <c r="AI4" i="20"/>
  <c r="AI6" i="20" s="1"/>
  <c r="AM4" i="20"/>
  <c r="U5" i="20"/>
  <c r="AA5" i="20"/>
  <c r="AE5" i="20"/>
  <c r="AE6" i="20" s="1"/>
  <c r="AE9" i="20" s="1"/>
  <c r="AE24" i="20" s="1"/>
  <c r="AI5" i="20"/>
  <c r="AM5" i="20"/>
  <c r="B6" i="20"/>
  <c r="C6" i="20"/>
  <c r="C9" i="20" s="1"/>
  <c r="C24" i="20" s="1"/>
  <c r="D6" i="20"/>
  <c r="E6" i="20"/>
  <c r="E9" i="20"/>
  <c r="E24" i="20"/>
  <c r="F6" i="20"/>
  <c r="G6" i="20"/>
  <c r="H6" i="20"/>
  <c r="H7" i="20" s="1"/>
  <c r="I6" i="20"/>
  <c r="J6" i="20"/>
  <c r="K6" i="20"/>
  <c r="L6" i="20"/>
  <c r="M6" i="20"/>
  <c r="N6" i="20"/>
  <c r="O6" i="20"/>
  <c r="P6" i="20"/>
  <c r="Q6" i="20"/>
  <c r="Q9" i="20"/>
  <c r="R6" i="20"/>
  <c r="S6" i="20"/>
  <c r="T6" i="20"/>
  <c r="U6" i="20"/>
  <c r="U9" i="20"/>
  <c r="V6" i="20"/>
  <c r="W6" i="20"/>
  <c r="X6" i="20"/>
  <c r="Y6" i="20"/>
  <c r="Z6" i="20"/>
  <c r="Z7" i="20" s="1"/>
  <c r="AA6" i="20"/>
  <c r="AA7" i="20" s="1"/>
  <c r="AB6" i="20"/>
  <c r="AC6" i="20"/>
  <c r="AC9" i="20"/>
  <c r="AC24" i="20"/>
  <c r="AD6" i="20"/>
  <c r="AF6" i="20"/>
  <c r="AF7" i="20" s="1"/>
  <c r="AG6" i="20"/>
  <c r="AH6" i="20"/>
  <c r="AH7" i="20" s="1"/>
  <c r="AJ6" i="20"/>
  <c r="AK6" i="20"/>
  <c r="AK9" i="20"/>
  <c r="AK24" i="20" s="1"/>
  <c r="AL6" i="20"/>
  <c r="AM6" i="20"/>
  <c r="AN6" i="20"/>
  <c r="AO6" i="20"/>
  <c r="AP6" i="20"/>
  <c r="AP7" i="20" s="1"/>
  <c r="AQ6" i="20"/>
  <c r="AR6" i="20"/>
  <c r="AS6" i="20"/>
  <c r="AS9" i="20"/>
  <c r="AS24" i="20" s="1"/>
  <c r="AT6" i="20"/>
  <c r="AU6" i="20"/>
  <c r="B7" i="20"/>
  <c r="C8" i="20" s="1"/>
  <c r="C7" i="20"/>
  <c r="D7" i="20"/>
  <c r="E7" i="20"/>
  <c r="F7" i="20"/>
  <c r="G8" i="20" s="1"/>
  <c r="G21" i="20" s="1"/>
  <c r="G7" i="20"/>
  <c r="J7" i="20"/>
  <c r="K7" i="20"/>
  <c r="K8" i="20" s="1"/>
  <c r="M7" i="20"/>
  <c r="N7" i="20"/>
  <c r="P7" i="20"/>
  <c r="Q8" i="20" s="1"/>
  <c r="Q21" i="20" s="1"/>
  <c r="Q7" i="20"/>
  <c r="S7" i="20"/>
  <c r="T7" i="20"/>
  <c r="U7" i="20"/>
  <c r="V7" i="20"/>
  <c r="W8" i="20" s="1"/>
  <c r="W7" i="20"/>
  <c r="W21" i="20"/>
  <c r="X7" i="20"/>
  <c r="AA8" i="20"/>
  <c r="AB7" i="20"/>
  <c r="AC7" i="20"/>
  <c r="AD7" i="20"/>
  <c r="AE7" i="20"/>
  <c r="AG7" i="20"/>
  <c r="AJ7" i="20"/>
  <c r="AK8" i="20" s="1"/>
  <c r="AK7" i="20"/>
  <c r="AL7" i="20"/>
  <c r="AM7" i="20"/>
  <c r="AM8" i="20"/>
  <c r="AN7" i="20"/>
  <c r="AQ7" i="20"/>
  <c r="AR7" i="20"/>
  <c r="AS7" i="20"/>
  <c r="AT7" i="20"/>
  <c r="AU8" i="20" s="1"/>
  <c r="AU7" i="20"/>
  <c r="E8" i="20"/>
  <c r="E21" i="20"/>
  <c r="E28" i="20" s="1"/>
  <c r="U8" i="20"/>
  <c r="U21" i="20" s="1"/>
  <c r="AC8" i="20"/>
  <c r="AS8" i="20"/>
  <c r="G9" i="20"/>
  <c r="K9" i="20"/>
  <c r="W9" i="20"/>
  <c r="W24" i="20" s="1"/>
  <c r="W31" i="20" s="1"/>
  <c r="AA9" i="20"/>
  <c r="AM9" i="20"/>
  <c r="AU9" i="20"/>
  <c r="E16" i="20"/>
  <c r="G16" i="20"/>
  <c r="G18" i="20"/>
  <c r="K16" i="20"/>
  <c r="O16" i="20"/>
  <c r="O18" i="20"/>
  <c r="S16" i="20"/>
  <c r="W16" i="20"/>
  <c r="W18" i="20" s="1"/>
  <c r="Y16" i="20"/>
  <c r="AC16" i="20"/>
  <c r="AC18" i="20" s="1"/>
  <c r="AG16" i="20"/>
  <c r="AK16" i="20"/>
  <c r="AO16" i="20"/>
  <c r="AS16" i="20"/>
  <c r="AS18" i="20"/>
  <c r="AU16" i="20"/>
  <c r="B18" i="20"/>
  <c r="C18" i="20"/>
  <c r="D18" i="20"/>
  <c r="E18" i="20"/>
  <c r="H18" i="20"/>
  <c r="I18" i="20"/>
  <c r="J18" i="20"/>
  <c r="K18" i="20"/>
  <c r="L18" i="20"/>
  <c r="M18" i="20"/>
  <c r="N18" i="20"/>
  <c r="P18" i="20"/>
  <c r="Q18" i="20"/>
  <c r="R18" i="20"/>
  <c r="S18" i="20"/>
  <c r="T18" i="20"/>
  <c r="U18" i="20"/>
  <c r="V18" i="20"/>
  <c r="X18" i="20"/>
  <c r="Z18" i="20"/>
  <c r="AA18" i="20"/>
  <c r="AB18" i="20"/>
  <c r="AD18" i="20"/>
  <c r="AE18" i="20"/>
  <c r="AF18" i="20"/>
  <c r="AG18" i="20"/>
  <c r="AH18" i="20"/>
  <c r="AI18" i="20"/>
  <c r="AL18" i="20"/>
  <c r="AM18" i="20"/>
  <c r="AN18" i="20"/>
  <c r="AO18" i="20"/>
  <c r="AP18" i="20"/>
  <c r="AQ18" i="20"/>
  <c r="AR18" i="20"/>
  <c r="AU18" i="20"/>
  <c r="G24" i="20"/>
  <c r="K24" i="20"/>
  <c r="AA24" i="20"/>
  <c r="AM24" i="20"/>
  <c r="AU24" i="20"/>
  <c r="C27" i="20"/>
  <c r="E27" i="20"/>
  <c r="I27" i="20"/>
  <c r="K27" i="20"/>
  <c r="M27" i="20"/>
  <c r="O27" i="20"/>
  <c r="Q27" i="20"/>
  <c r="U27" i="20"/>
  <c r="W27" i="20"/>
  <c r="Y27" i="20"/>
  <c r="AA27" i="20"/>
  <c r="AE27" i="20"/>
  <c r="AG27" i="20"/>
  <c r="AI27" i="20"/>
  <c r="AM27" i="20"/>
  <c r="AO27" i="20"/>
  <c r="AQ27" i="20"/>
  <c r="AU27" i="20"/>
  <c r="U55" i="20"/>
  <c r="C4" i="19"/>
  <c r="Q4" i="19"/>
  <c r="Q6" i="19" s="1"/>
  <c r="C5" i="19"/>
  <c r="Q5" i="19"/>
  <c r="B6" i="19"/>
  <c r="C6" i="19"/>
  <c r="D6" i="19"/>
  <c r="E6" i="19"/>
  <c r="E9" i="19"/>
  <c r="F6" i="19"/>
  <c r="G6" i="19"/>
  <c r="H6" i="19"/>
  <c r="I6" i="19"/>
  <c r="J6" i="19"/>
  <c r="K6" i="19"/>
  <c r="L6" i="19"/>
  <c r="M6" i="19"/>
  <c r="M9" i="19"/>
  <c r="M24" i="19" s="1"/>
  <c r="N6" i="19"/>
  <c r="O6" i="19"/>
  <c r="O9" i="19"/>
  <c r="O24" i="19" s="1"/>
  <c r="P6" i="19"/>
  <c r="R6" i="19"/>
  <c r="S6" i="19"/>
  <c r="S9" i="19" s="1"/>
  <c r="S24" i="19" s="1"/>
  <c r="T6" i="19"/>
  <c r="U6" i="19"/>
  <c r="U9" i="19"/>
  <c r="V6" i="19"/>
  <c r="W6" i="19"/>
  <c r="W9" i="19"/>
  <c r="W24" i="19"/>
  <c r="X6" i="19"/>
  <c r="Y6" i="19"/>
  <c r="Z6" i="19"/>
  <c r="Z7" i="19" s="1"/>
  <c r="AA6" i="19"/>
  <c r="AB6" i="19"/>
  <c r="AC6" i="19"/>
  <c r="AD6" i="19"/>
  <c r="AD7" i="19" s="1"/>
  <c r="AE6" i="19"/>
  <c r="AF6" i="19"/>
  <c r="AG6" i="19"/>
  <c r="B7" i="19"/>
  <c r="D7" i="19"/>
  <c r="E7" i="19"/>
  <c r="E8" i="19"/>
  <c r="E21" i="19" s="1"/>
  <c r="G7" i="19"/>
  <c r="H7" i="19"/>
  <c r="I8" i="19" s="1"/>
  <c r="I7" i="19"/>
  <c r="J7" i="19"/>
  <c r="L7" i="19"/>
  <c r="M7" i="19"/>
  <c r="M8" i="19"/>
  <c r="N7" i="19"/>
  <c r="O7" i="19"/>
  <c r="O8" i="19" s="1"/>
  <c r="O21" i="19" s="1"/>
  <c r="P7" i="19"/>
  <c r="R7" i="19"/>
  <c r="S7" i="19"/>
  <c r="T7" i="19"/>
  <c r="U7" i="19"/>
  <c r="U8" i="19" s="1"/>
  <c r="V7" i="19"/>
  <c r="W7" i="19"/>
  <c r="W8" i="19"/>
  <c r="X7" i="19"/>
  <c r="Y8" i="19" s="1"/>
  <c r="Y21" i="19" s="1"/>
  <c r="Y7" i="19"/>
  <c r="AC7" i="19"/>
  <c r="AF7" i="19"/>
  <c r="AG8" i="19" s="1"/>
  <c r="AG21" i="19" s="1"/>
  <c r="AG7" i="19"/>
  <c r="I9" i="19"/>
  <c r="Y9" i="19"/>
  <c r="Y24" i="19"/>
  <c r="Y31" i="19"/>
  <c r="E16" i="19"/>
  <c r="I16" i="19"/>
  <c r="H18" i="19" s="1"/>
  <c r="M16" i="19"/>
  <c r="S16" i="19"/>
  <c r="S18" i="19"/>
  <c r="W16" i="19"/>
  <c r="AA16" i="19"/>
  <c r="AE16" i="19"/>
  <c r="B18" i="19"/>
  <c r="C18" i="19"/>
  <c r="D18" i="19"/>
  <c r="E18" i="19"/>
  <c r="F18" i="19"/>
  <c r="G18" i="19"/>
  <c r="J18" i="19"/>
  <c r="K18" i="19"/>
  <c r="L18" i="19"/>
  <c r="N18" i="19"/>
  <c r="O18" i="19"/>
  <c r="P18" i="19"/>
  <c r="Q18" i="19"/>
  <c r="T18" i="19"/>
  <c r="U18" i="19"/>
  <c r="X18" i="19"/>
  <c r="Y18" i="19"/>
  <c r="Z18" i="19"/>
  <c r="AB18" i="19"/>
  <c r="AC18" i="19"/>
  <c r="AD18" i="19"/>
  <c r="AE18" i="19"/>
  <c r="AF18" i="19"/>
  <c r="AG18" i="19"/>
  <c r="C27" i="19"/>
  <c r="E27" i="19"/>
  <c r="G27" i="19"/>
  <c r="K27" i="19"/>
  <c r="M27" i="19"/>
  <c r="O27" i="19"/>
  <c r="O28" i="19" s="1"/>
  <c r="Q27" i="19"/>
  <c r="S27" i="19"/>
  <c r="U27" i="19"/>
  <c r="Y27" i="19"/>
  <c r="AC27" i="19"/>
  <c r="AE27" i="19"/>
  <c r="AG27" i="19"/>
  <c r="C4" i="21"/>
  <c r="I4" i="21"/>
  <c r="Q4" i="21"/>
  <c r="C5" i="21"/>
  <c r="C6" i="21" s="1"/>
  <c r="I5" i="21"/>
  <c r="I6" i="21"/>
  <c r="Q5" i="21"/>
  <c r="Q6" i="21" s="1"/>
  <c r="B6" i="21"/>
  <c r="B7" i="21" s="1"/>
  <c r="D6" i="21"/>
  <c r="E6" i="21"/>
  <c r="E9" i="21" s="1"/>
  <c r="F6" i="21"/>
  <c r="G9" i="21" s="1"/>
  <c r="G24" i="21" s="1"/>
  <c r="G6" i="21"/>
  <c r="H6" i="21"/>
  <c r="J6" i="21"/>
  <c r="K6" i="21"/>
  <c r="L6" i="21"/>
  <c r="M6" i="21"/>
  <c r="M9" i="21" s="1"/>
  <c r="N6" i="21"/>
  <c r="O9" i="21" s="1"/>
  <c r="O24" i="21" s="1"/>
  <c r="O6" i="21"/>
  <c r="P6" i="21"/>
  <c r="D7" i="21"/>
  <c r="E7" i="21"/>
  <c r="F7" i="21"/>
  <c r="G8" i="21" s="1"/>
  <c r="G7" i="21"/>
  <c r="H7" i="21"/>
  <c r="J7" i="21"/>
  <c r="K8" i="21" s="1"/>
  <c r="K7" i="21"/>
  <c r="L7" i="21"/>
  <c r="M7" i="21"/>
  <c r="M8" i="21" s="1"/>
  <c r="N7" i="21"/>
  <c r="O8" i="21" s="1"/>
  <c r="O21" i="21" s="1"/>
  <c r="O7" i="21"/>
  <c r="P7" i="21"/>
  <c r="E16" i="21"/>
  <c r="E18" i="21" s="1"/>
  <c r="D18" i="21"/>
  <c r="G16" i="21"/>
  <c r="K16" i="21"/>
  <c r="J18" i="21"/>
  <c r="B18" i="21"/>
  <c r="C18" i="21"/>
  <c r="H18" i="21"/>
  <c r="I18" i="21"/>
  <c r="K18" i="21"/>
  <c r="L18" i="21"/>
  <c r="M18" i="21"/>
  <c r="N18" i="21"/>
  <c r="O18" i="21"/>
  <c r="P18" i="21"/>
  <c r="Q18" i="21"/>
  <c r="C27" i="21"/>
  <c r="E27" i="21"/>
  <c r="I27" i="21"/>
  <c r="M27" i="21"/>
  <c r="O27" i="21"/>
  <c r="Q27" i="21"/>
  <c r="S4" i="22"/>
  <c r="W4" i="22"/>
  <c r="Y4" i="22"/>
  <c r="S5" i="22"/>
  <c r="S6" i="22" s="1"/>
  <c r="S9" i="22" s="1"/>
  <c r="W5" i="22"/>
  <c r="W6" i="22"/>
  <c r="Y5" i="22"/>
  <c r="Y6" i="22" s="1"/>
  <c r="B6" i="22"/>
  <c r="C6" i="22"/>
  <c r="C9" i="22" s="1"/>
  <c r="D6" i="22"/>
  <c r="E6" i="22"/>
  <c r="F6" i="22"/>
  <c r="G6" i="22"/>
  <c r="G9" i="22" s="1"/>
  <c r="H6" i="22"/>
  <c r="I6" i="22"/>
  <c r="J6" i="22"/>
  <c r="J7" i="22" s="1"/>
  <c r="K8" i="22" s="1"/>
  <c r="K9" i="22"/>
  <c r="K6" i="22"/>
  <c r="L6" i="22"/>
  <c r="M6" i="22"/>
  <c r="M7" i="22" s="1"/>
  <c r="N6" i="22"/>
  <c r="N7" i="22" s="1"/>
  <c r="O6" i="22"/>
  <c r="O9" i="22" s="1"/>
  <c r="P6" i="22"/>
  <c r="Q6" i="22"/>
  <c r="R6" i="22"/>
  <c r="T6" i="22"/>
  <c r="U6" i="22"/>
  <c r="U7" i="22" s="1"/>
  <c r="V6" i="22"/>
  <c r="X6" i="22"/>
  <c r="Z6" i="22"/>
  <c r="AA9" i="22"/>
  <c r="AA24" i="22" s="1"/>
  <c r="AA6" i="22"/>
  <c r="B7" i="22"/>
  <c r="C7" i="22"/>
  <c r="E7" i="22"/>
  <c r="F7" i="22"/>
  <c r="G8" i="22" s="1"/>
  <c r="G21" i="22" s="1"/>
  <c r="G28" i="22" s="1"/>
  <c r="G7" i="22"/>
  <c r="H7" i="22"/>
  <c r="I7" i="22"/>
  <c r="K7" i="22"/>
  <c r="L7" i="22"/>
  <c r="M8" i="22"/>
  <c r="O7" i="22"/>
  <c r="P7" i="22"/>
  <c r="R7" i="22"/>
  <c r="T7" i="22"/>
  <c r="U8" i="22" s="1"/>
  <c r="V7" i="22"/>
  <c r="X7" i="22"/>
  <c r="Z7" i="22"/>
  <c r="AA7" i="22"/>
  <c r="C8" i="22"/>
  <c r="C21" i="22" s="1"/>
  <c r="AA8" i="22"/>
  <c r="AA21" i="22" s="1"/>
  <c r="I9" i="22"/>
  <c r="I24" i="22"/>
  <c r="M9" i="22"/>
  <c r="M24" i="22" s="1"/>
  <c r="U9" i="22"/>
  <c r="U24" i="22" s="1"/>
  <c r="E16" i="22"/>
  <c r="E18" i="22"/>
  <c r="I16" i="22"/>
  <c r="M16" i="22"/>
  <c r="M18" i="22"/>
  <c r="Q16" i="22"/>
  <c r="U16" i="22"/>
  <c r="U18" i="22" s="1"/>
  <c r="AA16" i="22"/>
  <c r="B18" i="22"/>
  <c r="C18" i="22"/>
  <c r="D18" i="22"/>
  <c r="F18" i="22"/>
  <c r="G18" i="22"/>
  <c r="J18" i="22"/>
  <c r="K18" i="22"/>
  <c r="L18" i="22"/>
  <c r="N18" i="22"/>
  <c r="O18" i="22"/>
  <c r="P18" i="22"/>
  <c r="Q18" i="22"/>
  <c r="R18" i="22"/>
  <c r="S18" i="22"/>
  <c r="T18" i="22"/>
  <c r="V18" i="22"/>
  <c r="W18" i="22"/>
  <c r="X18" i="22"/>
  <c r="Y18" i="22"/>
  <c r="Z18" i="22"/>
  <c r="AA18" i="22"/>
  <c r="K21" i="22"/>
  <c r="C27" i="22"/>
  <c r="G27" i="22"/>
  <c r="I27" i="22"/>
  <c r="K27" i="22"/>
  <c r="K28" i="22" s="1"/>
  <c r="O27" i="22"/>
  <c r="Q27" i="22"/>
  <c r="S27" i="22"/>
  <c r="W27" i="22"/>
  <c r="Y27" i="22"/>
  <c r="AA27" i="22"/>
  <c r="AA28" i="22" s="1"/>
  <c r="B6" i="24"/>
  <c r="C6" i="24"/>
  <c r="C7" i="24" s="1"/>
  <c r="D6" i="24"/>
  <c r="E6" i="24"/>
  <c r="F6" i="24"/>
  <c r="G6" i="24"/>
  <c r="H6" i="24"/>
  <c r="I9" i="24"/>
  <c r="I24" i="24" s="1"/>
  <c r="I31" i="24" s="1"/>
  <c r="I6" i="24"/>
  <c r="J6" i="24"/>
  <c r="K6" i="24"/>
  <c r="L6" i="24"/>
  <c r="M6" i="24"/>
  <c r="N6" i="24"/>
  <c r="N7" i="24" s="1"/>
  <c r="O6" i="24"/>
  <c r="P6" i="24"/>
  <c r="Q6" i="24"/>
  <c r="R6" i="24"/>
  <c r="S6" i="24"/>
  <c r="T6" i="24"/>
  <c r="U6" i="24"/>
  <c r="V6" i="24"/>
  <c r="W6" i="24"/>
  <c r="X6" i="24"/>
  <c r="X7" i="24" s="1"/>
  <c r="Y9" i="24"/>
  <c r="Y6" i="24"/>
  <c r="Z6" i="24"/>
  <c r="AA6" i="24"/>
  <c r="AA7" i="24" s="1"/>
  <c r="AB6" i="24"/>
  <c r="AC6" i="24"/>
  <c r="AD6" i="24"/>
  <c r="AE6" i="24"/>
  <c r="AF6" i="24"/>
  <c r="AG6" i="24"/>
  <c r="AH6" i="24"/>
  <c r="AI6" i="24"/>
  <c r="AJ6" i="24"/>
  <c r="AK9" i="24"/>
  <c r="AK24" i="24"/>
  <c r="AK6" i="24"/>
  <c r="AL6" i="24"/>
  <c r="AM6" i="24"/>
  <c r="AM7" i="24" s="1"/>
  <c r="AN6" i="24"/>
  <c r="AN7" i="24" s="1"/>
  <c r="AO8" i="24" s="1"/>
  <c r="AO6" i="24"/>
  <c r="AP6" i="24"/>
  <c r="AQ6" i="24"/>
  <c r="AR6" i="24"/>
  <c r="AS6" i="24"/>
  <c r="AT6" i="24"/>
  <c r="AU9" i="24" s="1"/>
  <c r="AU6" i="24"/>
  <c r="AV6" i="24"/>
  <c r="AW6" i="24"/>
  <c r="AW9" i="24" s="1"/>
  <c r="AX6" i="24"/>
  <c r="AY6" i="24"/>
  <c r="AZ6" i="24"/>
  <c r="AZ7" i="24" s="1"/>
  <c r="BA9" i="24"/>
  <c r="BA24" i="24" s="1"/>
  <c r="BA6" i="24"/>
  <c r="BB6" i="24"/>
  <c r="BB7" i="24" s="1"/>
  <c r="BC6" i="24"/>
  <c r="BD6" i="24"/>
  <c r="BE6" i="24"/>
  <c r="BF6" i="24"/>
  <c r="BF7" i="24" s="1"/>
  <c r="BG6" i="24"/>
  <c r="BH6" i="24"/>
  <c r="BI9" i="24"/>
  <c r="BI6" i="24"/>
  <c r="BJ6" i="24"/>
  <c r="BK6" i="24"/>
  <c r="BL6" i="24"/>
  <c r="BM6" i="24"/>
  <c r="BN6" i="24"/>
  <c r="BO6" i="24"/>
  <c r="BP6" i="24"/>
  <c r="BQ9" i="24" s="1"/>
  <c r="BQ6" i="24"/>
  <c r="BR6" i="24"/>
  <c r="BR7" i="24" s="1"/>
  <c r="BS6" i="24"/>
  <c r="BT6" i="24"/>
  <c r="BU6" i="24"/>
  <c r="BV6" i="24"/>
  <c r="BW6" i="24"/>
  <c r="BX6" i="24"/>
  <c r="BX7" i="24" s="1"/>
  <c r="BY9" i="24"/>
  <c r="BY24" i="24" s="1"/>
  <c r="BY6" i="24"/>
  <c r="BZ6" i="24"/>
  <c r="CA6" i="24"/>
  <c r="CB6" i="24"/>
  <c r="CC6" i="24"/>
  <c r="B7" i="24"/>
  <c r="D7" i="24"/>
  <c r="F7" i="24"/>
  <c r="G8" i="24" s="1"/>
  <c r="G7" i="24"/>
  <c r="H7" i="24"/>
  <c r="I8" i="24" s="1"/>
  <c r="I7" i="24"/>
  <c r="J7" i="24"/>
  <c r="L7" i="24"/>
  <c r="M8" i="24" s="1"/>
  <c r="M21" i="24" s="1"/>
  <c r="M7" i="24"/>
  <c r="P7" i="24"/>
  <c r="R7" i="24"/>
  <c r="S7" i="24"/>
  <c r="T7" i="24"/>
  <c r="V7" i="24"/>
  <c r="W7" i="24"/>
  <c r="Y7" i="24"/>
  <c r="Y8" i="24" s="1"/>
  <c r="Z7" i="24"/>
  <c r="AB7" i="24"/>
  <c r="AC8" i="24" s="1"/>
  <c r="AC7" i="24"/>
  <c r="AE7" i="24"/>
  <c r="AF7" i="24"/>
  <c r="AI7" i="24"/>
  <c r="AJ7" i="24"/>
  <c r="AK8" i="24" s="1"/>
  <c r="AK21" i="24"/>
  <c r="AK7" i="24"/>
  <c r="AL7" i="24"/>
  <c r="AO7" i="24"/>
  <c r="AQ7" i="24"/>
  <c r="AR7" i="24"/>
  <c r="AT7" i="24"/>
  <c r="AU8" i="24" s="1"/>
  <c r="AU7" i="24"/>
  <c r="AV7" i="24"/>
  <c r="AW8" i="24" s="1"/>
  <c r="AW21" i="24" s="1"/>
  <c r="AW7" i="24"/>
  <c r="AX7" i="24"/>
  <c r="AY7" i="24"/>
  <c r="BA8" i="24"/>
  <c r="BA7" i="24"/>
  <c r="BC7" i="24"/>
  <c r="BD7" i="24"/>
  <c r="BG7" i="24"/>
  <c r="BH7" i="24"/>
  <c r="BI7" i="24"/>
  <c r="BJ7" i="24"/>
  <c r="BK7" i="24"/>
  <c r="BM7" i="24"/>
  <c r="BN7" i="24"/>
  <c r="BP7" i="24"/>
  <c r="BQ8" i="24" s="1"/>
  <c r="BQ7" i="24"/>
  <c r="BT7" i="24"/>
  <c r="BV7" i="24"/>
  <c r="BW8" i="24" s="1"/>
  <c r="BW21" i="24" s="1"/>
  <c r="BW7" i="24"/>
  <c r="BY8" i="24"/>
  <c r="BY7" i="24"/>
  <c r="CA7" i="24"/>
  <c r="CB7" i="24"/>
  <c r="C8" i="24"/>
  <c r="C21" i="24"/>
  <c r="G21" i="24"/>
  <c r="S8" i="24"/>
  <c r="S21" i="24" s="1"/>
  <c r="W8" i="24"/>
  <c r="AA8" i="24"/>
  <c r="AM8" i="24"/>
  <c r="AM21" i="24"/>
  <c r="AY8" i="24"/>
  <c r="AY21" i="24" s="1"/>
  <c r="BC8" i="24"/>
  <c r="BC21" i="24" s="1"/>
  <c r="BG8" i="24"/>
  <c r="BK8" i="24"/>
  <c r="BK21" i="24"/>
  <c r="C9" i="24"/>
  <c r="C24" i="24"/>
  <c r="G9" i="24"/>
  <c r="G24" i="24"/>
  <c r="S9" i="24"/>
  <c r="S24" i="24"/>
  <c r="W9" i="24"/>
  <c r="W24" i="24"/>
  <c r="AA9" i="24"/>
  <c r="AA24" i="24"/>
  <c r="AM9" i="24"/>
  <c r="AM24" i="24"/>
  <c r="AU24" i="24"/>
  <c r="AY9" i="24"/>
  <c r="AY24" i="24"/>
  <c r="BC9" i="24"/>
  <c r="BC24" i="24"/>
  <c r="BG9" i="24"/>
  <c r="BG24" i="24"/>
  <c r="BK9" i="24"/>
  <c r="BK24" i="24"/>
  <c r="BW9" i="24"/>
  <c r="BW24" i="24"/>
  <c r="E16" i="24"/>
  <c r="D18" i="24"/>
  <c r="I16" i="24"/>
  <c r="I21" i="24" s="1"/>
  <c r="O16" i="24"/>
  <c r="W16" i="24"/>
  <c r="AA16" i="24"/>
  <c r="Z18" i="24"/>
  <c r="AE16" i="24"/>
  <c r="AK16" i="24"/>
  <c r="AQ16" i="24"/>
  <c r="AU16" i="24"/>
  <c r="AT18" i="24"/>
  <c r="BA16" i="24"/>
  <c r="BG16" i="24"/>
  <c r="BO16" i="24"/>
  <c r="BO18" i="24" s="1"/>
  <c r="BU16" i="24"/>
  <c r="BT18" i="24"/>
  <c r="BY16" i="24"/>
  <c r="BX18" i="24" s="1"/>
  <c r="CC16" i="24"/>
  <c r="B18" i="24"/>
  <c r="C18" i="24"/>
  <c r="E18" i="24"/>
  <c r="F18" i="24"/>
  <c r="G18" i="24"/>
  <c r="H18" i="24"/>
  <c r="I18" i="24"/>
  <c r="J18" i="24"/>
  <c r="K18" i="24"/>
  <c r="L18" i="24"/>
  <c r="M18" i="24"/>
  <c r="P18" i="24"/>
  <c r="Q18" i="24"/>
  <c r="R18" i="24"/>
  <c r="S18" i="24"/>
  <c r="T18" i="24"/>
  <c r="U18" i="24"/>
  <c r="V18" i="24"/>
  <c r="X18" i="24"/>
  <c r="Y18" i="24"/>
  <c r="AA18" i="24"/>
  <c r="AB18" i="24"/>
  <c r="AC18" i="24"/>
  <c r="AD18" i="24"/>
  <c r="AE18" i="24"/>
  <c r="AF18" i="24"/>
  <c r="AG18" i="24"/>
  <c r="AH18" i="24"/>
  <c r="AI18" i="24"/>
  <c r="AL18" i="24"/>
  <c r="AM18" i="24"/>
  <c r="AN18" i="24"/>
  <c r="AO18" i="24"/>
  <c r="AR18" i="24"/>
  <c r="AS18" i="24"/>
  <c r="AU18" i="24"/>
  <c r="AV18" i="24"/>
  <c r="AW18" i="24"/>
  <c r="AX18" i="24"/>
  <c r="AY18" i="24"/>
  <c r="AZ18" i="24"/>
  <c r="BA18" i="24"/>
  <c r="BB18" i="24"/>
  <c r="BC18" i="24"/>
  <c r="BD18" i="24"/>
  <c r="BE18" i="24"/>
  <c r="BH18" i="24"/>
  <c r="BI18" i="24"/>
  <c r="BJ18" i="24"/>
  <c r="BK18" i="24"/>
  <c r="BL18" i="24"/>
  <c r="BM18" i="24"/>
  <c r="BP18" i="24"/>
  <c r="BQ18" i="24"/>
  <c r="BR18" i="24"/>
  <c r="BS18" i="24"/>
  <c r="BU18" i="24"/>
  <c r="BV18" i="24"/>
  <c r="BW18" i="24"/>
  <c r="BY18" i="24"/>
  <c r="BZ18" i="24"/>
  <c r="CA18" i="24"/>
  <c r="C27" i="24"/>
  <c r="E27" i="24"/>
  <c r="G27" i="24"/>
  <c r="I27" i="24"/>
  <c r="K27" i="24"/>
  <c r="M27" i="24"/>
  <c r="Q27" i="24"/>
  <c r="S27" i="24"/>
  <c r="U27" i="24"/>
  <c r="Y27" i="24"/>
  <c r="AC27" i="24"/>
  <c r="AE27" i="24"/>
  <c r="AG27" i="24"/>
  <c r="AI27" i="24"/>
  <c r="AM27" i="24"/>
  <c r="AO27" i="24"/>
  <c r="AS27" i="24"/>
  <c r="AW27" i="24"/>
  <c r="AW31" i="24" s="1"/>
  <c r="AY27" i="24"/>
  <c r="BA27" i="24"/>
  <c r="BC27" i="24"/>
  <c r="BE27" i="24"/>
  <c r="BI27" i="24"/>
  <c r="BK27" i="24"/>
  <c r="BM27" i="24"/>
  <c r="BO27" i="24"/>
  <c r="BQ27" i="24"/>
  <c r="BS27" i="24"/>
  <c r="BU27" i="24"/>
  <c r="BW27" i="24"/>
  <c r="BY27" i="24"/>
  <c r="CA27" i="24"/>
  <c r="C4" i="26"/>
  <c r="G4" i="26"/>
  <c r="K4" i="26"/>
  <c r="K6" i="26" s="1"/>
  <c r="O4" i="26"/>
  <c r="S4" i="26"/>
  <c r="S6" i="26" s="1"/>
  <c r="S7" i="26" s="1"/>
  <c r="C5" i="26"/>
  <c r="C6" i="26" s="1"/>
  <c r="G5" i="26"/>
  <c r="G6" i="26" s="1"/>
  <c r="K5" i="26"/>
  <c r="O5" i="26"/>
  <c r="S5" i="26"/>
  <c r="B6" i="26"/>
  <c r="B7" i="26" s="1"/>
  <c r="D6" i="26"/>
  <c r="D7" i="26" s="1"/>
  <c r="E6" i="26"/>
  <c r="E9" i="26"/>
  <c r="E24" i="26" s="1"/>
  <c r="F6" i="26"/>
  <c r="F7" i="26" s="1"/>
  <c r="H6" i="26"/>
  <c r="I6" i="26"/>
  <c r="I9" i="26"/>
  <c r="I24" i="26" s="1"/>
  <c r="J6" i="26"/>
  <c r="L6" i="26"/>
  <c r="M6" i="26"/>
  <c r="N6" i="26"/>
  <c r="O6" i="26"/>
  <c r="O7" i="26" s="1"/>
  <c r="P6" i="26"/>
  <c r="P7" i="26" s="1"/>
  <c r="Q8" i="26" s="1"/>
  <c r="Q6" i="26"/>
  <c r="Q9" i="26" s="1"/>
  <c r="Q24" i="26" s="1"/>
  <c r="R6" i="26"/>
  <c r="R7" i="26" s="1"/>
  <c r="T6" i="26"/>
  <c r="T7" i="26" s="1"/>
  <c r="U6" i="26"/>
  <c r="U9" i="26"/>
  <c r="U24" i="26" s="1"/>
  <c r="V6" i="26"/>
  <c r="W6" i="26"/>
  <c r="X6" i="26"/>
  <c r="Y6" i="26"/>
  <c r="Z6" i="26"/>
  <c r="AA6" i="26"/>
  <c r="AA9" i="26" s="1"/>
  <c r="AA24" i="26" s="1"/>
  <c r="E7" i="26"/>
  <c r="E8" i="26" s="1"/>
  <c r="E21" i="26" s="1"/>
  <c r="G7" i="26"/>
  <c r="H7" i="26"/>
  <c r="I8" i="26" s="1"/>
  <c r="I7" i="26"/>
  <c r="J7" i="26"/>
  <c r="L7" i="26"/>
  <c r="N7" i="26"/>
  <c r="O8" i="26"/>
  <c r="Q7" i="26"/>
  <c r="U7" i="26"/>
  <c r="W7" i="26"/>
  <c r="Y7" i="26"/>
  <c r="Z7" i="26"/>
  <c r="AA8" i="26" s="1"/>
  <c r="AA7" i="26"/>
  <c r="U8" i="26"/>
  <c r="U21" i="26" s="1"/>
  <c r="O9" i="26"/>
  <c r="O24" i="26" s="1"/>
  <c r="S9" i="26"/>
  <c r="E16" i="26"/>
  <c r="D18" i="26" s="1"/>
  <c r="I16" i="26"/>
  <c r="M16" i="26"/>
  <c r="M18" i="26" s="1"/>
  <c r="Q16" i="26"/>
  <c r="P18" i="26"/>
  <c r="W16" i="26"/>
  <c r="AA16" i="26"/>
  <c r="AA18" i="26" s="1"/>
  <c r="B18" i="26"/>
  <c r="C18" i="26"/>
  <c r="E18" i="26"/>
  <c r="F18" i="26"/>
  <c r="G18" i="26"/>
  <c r="J18" i="26"/>
  <c r="K18" i="26"/>
  <c r="L18" i="26"/>
  <c r="N18" i="26"/>
  <c r="O18" i="26"/>
  <c r="Q18" i="26"/>
  <c r="R18" i="26"/>
  <c r="S18" i="26"/>
  <c r="T18" i="26"/>
  <c r="U18" i="26"/>
  <c r="V18" i="26"/>
  <c r="W18" i="26"/>
  <c r="X18" i="26"/>
  <c r="Y18" i="26"/>
  <c r="C27" i="26"/>
  <c r="G27" i="26"/>
  <c r="K27" i="26"/>
  <c r="O27" i="26"/>
  <c r="S27" i="26"/>
  <c r="U27" i="26"/>
  <c r="W27" i="26"/>
  <c r="Y27" i="26"/>
  <c r="C4" i="27"/>
  <c r="G4" i="27"/>
  <c r="K4" i="27"/>
  <c r="O4" i="27"/>
  <c r="AI4" i="27"/>
  <c r="AI6" i="27"/>
  <c r="BA4" i="27"/>
  <c r="BE4" i="27"/>
  <c r="BI4" i="27"/>
  <c r="BI6" i="27" s="1"/>
  <c r="BM4" i="27"/>
  <c r="BM6" i="27"/>
  <c r="BQ4" i="27"/>
  <c r="BS4" i="27"/>
  <c r="BW4" i="27"/>
  <c r="BW6" i="27" s="1"/>
  <c r="CA4" i="27"/>
  <c r="CA6" i="27"/>
  <c r="CA9" i="27" s="1"/>
  <c r="C5" i="27"/>
  <c r="C6" i="27" s="1"/>
  <c r="G5" i="27"/>
  <c r="G6" i="27" s="1"/>
  <c r="G7" i="27" s="1"/>
  <c r="K5" i="27"/>
  <c r="K6" i="27" s="1"/>
  <c r="O5" i="27"/>
  <c r="O6" i="27"/>
  <c r="O7" i="27" s="1"/>
  <c r="AI5" i="27"/>
  <c r="BA5" i="27"/>
  <c r="BA6" i="27" s="1"/>
  <c r="BE5" i="27"/>
  <c r="BE6" i="27" s="1"/>
  <c r="BE9" i="27" s="1"/>
  <c r="BI5" i="27"/>
  <c r="BM5" i="27"/>
  <c r="BQ5" i="27"/>
  <c r="BQ6" i="27" s="1"/>
  <c r="BS5" i="27"/>
  <c r="BW5" i="27"/>
  <c r="CA5" i="27"/>
  <c r="B6" i="27"/>
  <c r="B7" i="27" s="1"/>
  <c r="D6" i="27"/>
  <c r="D7" i="27"/>
  <c r="E6" i="27"/>
  <c r="E9" i="27" s="1"/>
  <c r="F6" i="27"/>
  <c r="F7" i="27"/>
  <c r="G8" i="27" s="1"/>
  <c r="G21" i="27" s="1"/>
  <c r="H6" i="27"/>
  <c r="I6" i="27"/>
  <c r="J6" i="27"/>
  <c r="J7" i="27" s="1"/>
  <c r="L6" i="27"/>
  <c r="L7" i="27"/>
  <c r="M6" i="27"/>
  <c r="M7" i="27" s="1"/>
  <c r="N6" i="27"/>
  <c r="N7" i="27"/>
  <c r="P6" i="27"/>
  <c r="Q6" i="27"/>
  <c r="R6" i="27"/>
  <c r="R7" i="27" s="1"/>
  <c r="S8" i="27" s="1"/>
  <c r="S21" i="27" s="1"/>
  <c r="S6" i="27"/>
  <c r="T6" i="27"/>
  <c r="U9" i="27" s="1"/>
  <c r="U6" i="27"/>
  <c r="V6" i="27"/>
  <c r="W6" i="27"/>
  <c r="X6" i="27"/>
  <c r="Y6" i="27"/>
  <c r="Z6" i="27"/>
  <c r="AA6" i="27"/>
  <c r="AB6" i="27"/>
  <c r="AC9" i="27" s="1"/>
  <c r="AC6" i="27"/>
  <c r="AD6" i="27"/>
  <c r="AE6" i="27"/>
  <c r="AF6" i="27"/>
  <c r="AG6" i="27"/>
  <c r="AH6" i="27"/>
  <c r="AH7" i="27" s="1"/>
  <c r="AI8" i="27" s="1"/>
  <c r="AI21" i="27" s="1"/>
  <c r="AJ6" i="27"/>
  <c r="AJ7" i="27"/>
  <c r="AK6" i="27"/>
  <c r="AL6" i="27"/>
  <c r="AL7" i="27" s="1"/>
  <c r="AM8" i="27" s="1"/>
  <c r="AM21" i="27" s="1"/>
  <c r="AM6" i="27"/>
  <c r="AN6" i="27"/>
  <c r="AO6" i="27"/>
  <c r="AP6" i="27"/>
  <c r="AP7" i="27" s="1"/>
  <c r="AQ8" i="27"/>
  <c r="AQ21" i="27" s="1"/>
  <c r="AQ6" i="27"/>
  <c r="AR6" i="27"/>
  <c r="AR7" i="27" s="1"/>
  <c r="AS6" i="27"/>
  <c r="AT6" i="27"/>
  <c r="AT7" i="27"/>
  <c r="AU6" i="27"/>
  <c r="AU7" i="27" s="1"/>
  <c r="AV6" i="27"/>
  <c r="AV7" i="27"/>
  <c r="AW8" i="27" s="1"/>
  <c r="AW21" i="27" s="1"/>
  <c r="AW23" i="27" s="1"/>
  <c r="AW6" i="27"/>
  <c r="AX6" i="27"/>
  <c r="AX7" i="27"/>
  <c r="AY8" i="27" s="1"/>
  <c r="AY21" i="27" s="1"/>
  <c r="AY6" i="27"/>
  <c r="AZ6" i="27"/>
  <c r="AZ7" i="27" s="1"/>
  <c r="BA8" i="27"/>
  <c r="BA21" i="27" s="1"/>
  <c r="BA28" i="27" s="1"/>
  <c r="BB6" i="27"/>
  <c r="BC6" i="27"/>
  <c r="BD6" i="27"/>
  <c r="BD7" i="27" s="1"/>
  <c r="BF6" i="27"/>
  <c r="BG6" i="27"/>
  <c r="BG7" i="27" s="1"/>
  <c r="BH6" i="27"/>
  <c r="BH7" i="27"/>
  <c r="BJ6" i="27"/>
  <c r="BK6" i="27"/>
  <c r="BL6" i="27"/>
  <c r="BL7" i="27" s="1"/>
  <c r="BN6" i="27"/>
  <c r="BN7" i="27"/>
  <c r="BO8" i="27" s="1"/>
  <c r="BO6" i="27"/>
  <c r="BP6" i="27"/>
  <c r="BP7" i="27" s="1"/>
  <c r="BR6" i="27"/>
  <c r="BT6" i="27"/>
  <c r="BT7" i="27" s="1"/>
  <c r="BU6" i="27"/>
  <c r="BV6" i="27"/>
  <c r="BV7" i="27"/>
  <c r="BX6" i="27"/>
  <c r="BX7" i="27" s="1"/>
  <c r="BY8" i="27" s="1"/>
  <c r="BY21" i="27" s="1"/>
  <c r="BY6" i="27"/>
  <c r="BZ6" i="27"/>
  <c r="BZ7" i="27" s="1"/>
  <c r="CB6" i="27"/>
  <c r="CB7" i="27"/>
  <c r="CC8" i="27" s="1"/>
  <c r="CC21" i="27" s="1"/>
  <c r="CC23" i="27" s="1"/>
  <c r="CC6" i="27"/>
  <c r="E7" i="27"/>
  <c r="H7" i="27"/>
  <c r="I8" i="27" s="1"/>
  <c r="I21" i="27" s="1"/>
  <c r="I23" i="27" s="1"/>
  <c r="I7" i="27"/>
  <c r="Q7" i="27"/>
  <c r="S7" i="27"/>
  <c r="T7" i="27"/>
  <c r="U8" i="27" s="1"/>
  <c r="U21" i="27" s="1"/>
  <c r="U23" i="27" s="1"/>
  <c r="U7" i="27"/>
  <c r="W7" i="27"/>
  <c r="Y7" i="27"/>
  <c r="AA7" i="27"/>
  <c r="AB7" i="27"/>
  <c r="AC8" i="27" s="1"/>
  <c r="AC7" i="27"/>
  <c r="AE7" i="27"/>
  <c r="AG7" i="27"/>
  <c r="AI7" i="27"/>
  <c r="AK7" i="27"/>
  <c r="AM7" i="27"/>
  <c r="AO7" i="27"/>
  <c r="AQ7" i="27"/>
  <c r="AW7" i="27"/>
  <c r="AY7" i="27"/>
  <c r="BA7" i="27"/>
  <c r="BB7" i="27"/>
  <c r="BC7" i="27"/>
  <c r="BC8" i="27" s="1"/>
  <c r="BE7" i="27"/>
  <c r="BK7" i="27"/>
  <c r="BM7" i="27"/>
  <c r="BM10" i="27" s="1"/>
  <c r="BO7" i="27"/>
  <c r="BR7" i="27"/>
  <c r="BY7" i="27"/>
  <c r="CA7" i="27"/>
  <c r="CC7" i="27"/>
  <c r="BM8" i="27"/>
  <c r="I9" i="27"/>
  <c r="M9" i="27"/>
  <c r="M24" i="27" s="1"/>
  <c r="AI9" i="27"/>
  <c r="AI24" i="27" s="1"/>
  <c r="AK9" i="27"/>
  <c r="AW9" i="27"/>
  <c r="AW24" i="27" s="1"/>
  <c r="AW33" i="27" s="1"/>
  <c r="BC9" i="27"/>
  <c r="BC24" i="27" s="1"/>
  <c r="BC26" i="27" s="1"/>
  <c r="BY9" i="27"/>
  <c r="CC9" i="27"/>
  <c r="CC24" i="27" s="1"/>
  <c r="CC31" i="27" s="1"/>
  <c r="E16" i="27"/>
  <c r="E18" i="27"/>
  <c r="I16" i="27"/>
  <c r="M16" i="27"/>
  <c r="Q16" i="27"/>
  <c r="Q18" i="27" s="1"/>
  <c r="Y16" i="27"/>
  <c r="Y18" i="27"/>
  <c r="AC16" i="27"/>
  <c r="AG16" i="27"/>
  <c r="AK16" i="27"/>
  <c r="AK18" i="27" s="1"/>
  <c r="AO16" i="27"/>
  <c r="AO18" i="27"/>
  <c r="AS16" i="27"/>
  <c r="AY16" i="27"/>
  <c r="BC16" i="27"/>
  <c r="BG16" i="27"/>
  <c r="BG18" i="27"/>
  <c r="BK16" i="27"/>
  <c r="BO16" i="27"/>
  <c r="BU16" i="27"/>
  <c r="BY16" i="27"/>
  <c r="BY18" i="27"/>
  <c r="CC16" i="27"/>
  <c r="B18" i="27"/>
  <c r="C18" i="27"/>
  <c r="D18" i="27"/>
  <c r="F18" i="27"/>
  <c r="G18" i="27"/>
  <c r="H18" i="27"/>
  <c r="I18" i="27"/>
  <c r="J18" i="27"/>
  <c r="K18" i="27"/>
  <c r="N18" i="27"/>
  <c r="O18" i="27"/>
  <c r="P18" i="27"/>
  <c r="R18" i="27"/>
  <c r="S18" i="27"/>
  <c r="T18" i="27"/>
  <c r="U18" i="27"/>
  <c r="V18" i="27"/>
  <c r="W18" i="27"/>
  <c r="X18" i="27"/>
  <c r="Z18" i="27"/>
  <c r="AA18" i="27"/>
  <c r="AB18" i="27"/>
  <c r="AC18" i="27"/>
  <c r="AD18" i="27"/>
  <c r="AE18" i="27"/>
  <c r="AH18" i="27"/>
  <c r="AI18" i="27"/>
  <c r="AJ18" i="27"/>
  <c r="AL18" i="27"/>
  <c r="AM18" i="27"/>
  <c r="AN18" i="27"/>
  <c r="AP18" i="27"/>
  <c r="AQ18" i="27"/>
  <c r="AR18" i="27"/>
  <c r="AS18" i="27"/>
  <c r="AT18" i="27"/>
  <c r="AU18" i="27"/>
  <c r="AV18" i="27"/>
  <c r="AW18" i="27"/>
  <c r="AZ18" i="27"/>
  <c r="BA18" i="27"/>
  <c r="BF18" i="27"/>
  <c r="BH18" i="27"/>
  <c r="BI18" i="27"/>
  <c r="BJ18" i="27"/>
  <c r="BK18" i="27"/>
  <c r="BL18" i="27"/>
  <c r="BM18" i="27"/>
  <c r="BP18" i="27"/>
  <c r="BQ18" i="27"/>
  <c r="BR18" i="27"/>
  <c r="BS18" i="27"/>
  <c r="BV18" i="27"/>
  <c r="BW18" i="27"/>
  <c r="BX18" i="27"/>
  <c r="BZ18" i="27"/>
  <c r="CA18" i="27"/>
  <c r="CB18" i="27"/>
  <c r="CC18" i="27"/>
  <c r="AC21" i="27"/>
  <c r="AC23" i="27" s="1"/>
  <c r="E24" i="27"/>
  <c r="E26" i="27" s="1"/>
  <c r="I24" i="27"/>
  <c r="I31" i="27" s="1"/>
  <c r="M26" i="27"/>
  <c r="U24" i="27"/>
  <c r="U26" i="27" s="1"/>
  <c r="AC24" i="27"/>
  <c r="AK24" i="27"/>
  <c r="AW26" i="27"/>
  <c r="BE24" i="27"/>
  <c r="BY24" i="27"/>
  <c r="BY26" i="27" s="1"/>
  <c r="CA24" i="27"/>
  <c r="AI26" i="27"/>
  <c r="C27" i="27"/>
  <c r="E27" i="27"/>
  <c r="E31" i="27" s="1"/>
  <c r="G27" i="27"/>
  <c r="I27" i="27"/>
  <c r="K27" i="27"/>
  <c r="M27" i="27"/>
  <c r="O27" i="27"/>
  <c r="Q27" i="27"/>
  <c r="S27" i="27"/>
  <c r="U27" i="27"/>
  <c r="W27" i="27"/>
  <c r="Y27" i="27"/>
  <c r="AA27" i="27"/>
  <c r="AC27" i="27"/>
  <c r="AE27" i="27"/>
  <c r="AG27" i="27"/>
  <c r="AI27" i="27"/>
  <c r="AK27" i="27"/>
  <c r="AM27" i="27"/>
  <c r="AO27" i="27"/>
  <c r="AQ27" i="27"/>
  <c r="AS27" i="27"/>
  <c r="AU27" i="27"/>
  <c r="AW27" i="27"/>
  <c r="BA27" i="27"/>
  <c r="BE27" i="27"/>
  <c r="BG27" i="27"/>
  <c r="BI27" i="27"/>
  <c r="BK27" i="27"/>
  <c r="BM27" i="27"/>
  <c r="BQ27" i="27"/>
  <c r="BS27" i="27"/>
  <c r="BW27" i="27"/>
  <c r="BY27" i="27"/>
  <c r="CA27" i="27"/>
  <c r="CC27" i="27"/>
  <c r="CC28" i="27" s="1"/>
  <c r="AC28" i="27"/>
  <c r="B10" i="11"/>
  <c r="U31" i="26"/>
  <c r="AY23" i="27"/>
  <c r="O21" i="26"/>
  <c r="AY31" i="24"/>
  <c r="S31" i="24"/>
  <c r="C31" i="24"/>
  <c r="AY28" i="24"/>
  <c r="S28" i="24"/>
  <c r="C28" i="24"/>
  <c r="BQ21" i="24"/>
  <c r="AO21" i="24"/>
  <c r="AC21" i="24"/>
  <c r="Y21" i="24"/>
  <c r="I28" i="24"/>
  <c r="BY31" i="24"/>
  <c r="BQ24" i="24"/>
  <c r="BI24" i="24"/>
  <c r="BA31" i="24"/>
  <c r="AW24" i="24"/>
  <c r="Y24" i="24"/>
  <c r="Y31" i="24" s="1"/>
  <c r="I31" i="22"/>
  <c r="O24" i="22"/>
  <c r="K24" i="22"/>
  <c r="K31" i="22" s="1"/>
  <c r="G24" i="22"/>
  <c r="C24" i="22"/>
  <c r="W7" i="22"/>
  <c r="W8" i="22"/>
  <c r="W21" i="22" s="1"/>
  <c r="W9" i="22"/>
  <c r="Y9" i="22"/>
  <c r="Y7" i="22"/>
  <c r="S7" i="22"/>
  <c r="S8" i="22" s="1"/>
  <c r="S21" i="22" s="1"/>
  <c r="O28" i="21"/>
  <c r="M24" i="21"/>
  <c r="I7" i="21"/>
  <c r="I8" i="21" s="1"/>
  <c r="I9" i="21"/>
  <c r="I24" i="21" s="1"/>
  <c r="Q7" i="21"/>
  <c r="Q9" i="21"/>
  <c r="C7" i="21"/>
  <c r="C8" i="21"/>
  <c r="U21" i="19"/>
  <c r="E28" i="19"/>
  <c r="U24" i="19"/>
  <c r="U42" i="19"/>
  <c r="U43" i="19"/>
  <c r="M31" i="19"/>
  <c r="E24" i="19"/>
  <c r="Z18" i="26"/>
  <c r="S24" i="26"/>
  <c r="BC31" i="24"/>
  <c r="AM31" i="24"/>
  <c r="G31" i="24"/>
  <c r="BK28" i="24"/>
  <c r="BC28" i="24"/>
  <c r="AM28" i="24"/>
  <c r="AM29" i="24" s="1"/>
  <c r="G28" i="24"/>
  <c r="O25" i="21"/>
  <c r="N25" i="21"/>
  <c r="O31" i="21"/>
  <c r="O32" i="21"/>
  <c r="M21" i="21"/>
  <c r="E24" i="21"/>
  <c r="BE31" i="27"/>
  <c r="AK31" i="27"/>
  <c r="M31" i="27"/>
  <c r="BE26" i="27"/>
  <c r="AK26" i="27"/>
  <c r="BO9" i="27"/>
  <c r="BO24" i="27"/>
  <c r="AY9" i="27"/>
  <c r="AY24" i="27"/>
  <c r="AU9" i="27"/>
  <c r="O9" i="27"/>
  <c r="G9" i="27"/>
  <c r="Y8" i="22"/>
  <c r="Q8" i="21"/>
  <c r="U28" i="20"/>
  <c r="I31" i="17"/>
  <c r="AU27" i="24"/>
  <c r="AA27" i="24"/>
  <c r="AA31" i="24" s="1"/>
  <c r="O27" i="24"/>
  <c r="AU21" i="24"/>
  <c r="AA21" i="24"/>
  <c r="AA31" i="22"/>
  <c r="O31" i="22"/>
  <c r="U27" i="22"/>
  <c r="M27" i="22"/>
  <c r="E27" i="22"/>
  <c r="U21" i="22"/>
  <c r="M21" i="22"/>
  <c r="K27" i="21"/>
  <c r="K21" i="21"/>
  <c r="R18" i="19"/>
  <c r="W28" i="20"/>
  <c r="I18" i="19"/>
  <c r="I21" i="19"/>
  <c r="I27" i="19"/>
  <c r="AG28" i="19"/>
  <c r="Y28" i="19"/>
  <c r="Q28" i="20"/>
  <c r="AM21" i="20"/>
  <c r="AA21" i="20"/>
  <c r="AA28" i="20"/>
  <c r="C21" i="20"/>
  <c r="U24" i="20"/>
  <c r="Q24" i="20"/>
  <c r="C25" i="20"/>
  <c r="E31" i="20"/>
  <c r="Q31" i="17"/>
  <c r="K30" i="17"/>
  <c r="Q21" i="14"/>
  <c r="AA31" i="14"/>
  <c r="S31" i="14"/>
  <c r="J25" i="14"/>
  <c r="K31" i="14"/>
  <c r="K25" i="14"/>
  <c r="G24" i="14"/>
  <c r="Q31" i="16"/>
  <c r="C24" i="16"/>
  <c r="C31" i="16" s="1"/>
  <c r="G24" i="15"/>
  <c r="C21" i="18"/>
  <c r="K22" i="14"/>
  <c r="W18" i="17"/>
  <c r="W27" i="17"/>
  <c r="O18" i="17"/>
  <c r="O27" i="17"/>
  <c r="E18" i="17"/>
  <c r="C25" i="15"/>
  <c r="B25" i="15"/>
  <c r="AU31" i="20"/>
  <c r="AM31" i="20"/>
  <c r="AE31" i="20"/>
  <c r="AA31" i="20"/>
  <c r="K31" i="20"/>
  <c r="C31" i="20"/>
  <c r="AS27" i="20"/>
  <c r="AK27" i="20"/>
  <c r="AC27" i="20"/>
  <c r="AS21" i="20"/>
  <c r="AK21" i="20"/>
  <c r="AC21" i="20"/>
  <c r="K31" i="17"/>
  <c r="C31" i="17"/>
  <c r="AA28" i="17"/>
  <c r="K28" i="17"/>
  <c r="C28" i="17"/>
  <c r="M28" i="14"/>
  <c r="K29" i="14" s="1"/>
  <c r="C24" i="25"/>
  <c r="C25" i="25" s="1"/>
  <c r="I28" i="12"/>
  <c r="U31" i="14"/>
  <c r="Q31" i="14"/>
  <c r="M31" i="14"/>
  <c r="W27" i="14"/>
  <c r="O27" i="14"/>
  <c r="S31" i="16"/>
  <c r="E27" i="16"/>
  <c r="S31" i="15"/>
  <c r="O31" i="15"/>
  <c r="G31" i="15"/>
  <c r="E27" i="15"/>
  <c r="E21" i="15"/>
  <c r="C31" i="18"/>
  <c r="D7" i="18"/>
  <c r="E8" i="18"/>
  <c r="E24" i="18"/>
  <c r="C25" i="18" s="1"/>
  <c r="C26" i="18" s="1"/>
  <c r="E24" i="8"/>
  <c r="Q31" i="4"/>
  <c r="L16" i="4"/>
  <c r="M17" i="4"/>
  <c r="H16" i="4"/>
  <c r="I17" i="4"/>
  <c r="G21" i="12"/>
  <c r="K24" i="12"/>
  <c r="G24" i="12"/>
  <c r="G31" i="9"/>
  <c r="Y28" i="23"/>
  <c r="U21" i="23"/>
  <c r="I21" i="23"/>
  <c r="Y31" i="23"/>
  <c r="M31" i="23"/>
  <c r="I24" i="23"/>
  <c r="C36" i="25"/>
  <c r="S7" i="4"/>
  <c r="S8" i="4"/>
  <c r="S21" i="4" s="1"/>
  <c r="S9" i="4"/>
  <c r="O7" i="4"/>
  <c r="O8" i="4"/>
  <c r="O9" i="4"/>
  <c r="O24" i="4" s="1"/>
  <c r="C31" i="9"/>
  <c r="G21" i="9"/>
  <c r="C21" i="9"/>
  <c r="C22" i="9" s="1"/>
  <c r="E24" i="9"/>
  <c r="C25" i="9" s="1"/>
  <c r="K17" i="4"/>
  <c r="U9" i="4"/>
  <c r="M9" i="4"/>
  <c r="E9" i="4"/>
  <c r="E24" i="4" s="1"/>
  <c r="V7" i="4"/>
  <c r="W8" i="4"/>
  <c r="J7" i="4"/>
  <c r="F7" i="4"/>
  <c r="Q28" i="12"/>
  <c r="I31" i="12"/>
  <c r="Q27" i="23"/>
  <c r="E27" i="23"/>
  <c r="Q21" i="23"/>
  <c r="O21" i="4"/>
  <c r="Q28" i="23"/>
  <c r="Q31" i="23"/>
  <c r="U24" i="4"/>
  <c r="U28" i="23"/>
  <c r="K31" i="12"/>
  <c r="G28" i="12"/>
  <c r="E31" i="8"/>
  <c r="E26" i="18"/>
  <c r="E31" i="18"/>
  <c r="C32" i="18" s="1"/>
  <c r="E31" i="16"/>
  <c r="AK31" i="20"/>
  <c r="C28" i="18"/>
  <c r="G31" i="14"/>
  <c r="Q31" i="20"/>
  <c r="U26" i="20"/>
  <c r="U31" i="20"/>
  <c r="AA28" i="24"/>
  <c r="Q21" i="21"/>
  <c r="O24" i="27"/>
  <c r="BO26" i="27"/>
  <c r="S31" i="26"/>
  <c r="N25" i="26"/>
  <c r="C21" i="21"/>
  <c r="Q24" i="21"/>
  <c r="Y24" i="22"/>
  <c r="F25" i="22"/>
  <c r="BI31" i="24"/>
  <c r="BQ31" i="24"/>
  <c r="AW28" i="24"/>
  <c r="G23" i="27"/>
  <c r="G28" i="27"/>
  <c r="AM23" i="27"/>
  <c r="AM28" i="27"/>
  <c r="AW28" i="27"/>
  <c r="S23" i="27"/>
  <c r="S28" i="27"/>
  <c r="O26" i="15"/>
  <c r="C28" i="20"/>
  <c r="W21" i="4"/>
  <c r="M24" i="4"/>
  <c r="K18" i="4"/>
  <c r="J18" i="4"/>
  <c r="E31" i="9"/>
  <c r="C32" i="9" s="1"/>
  <c r="B22" i="9"/>
  <c r="G28" i="9"/>
  <c r="S24" i="4"/>
  <c r="C37" i="25"/>
  <c r="B40" i="25" s="1"/>
  <c r="I28" i="23"/>
  <c r="M18" i="4"/>
  <c r="L18" i="4"/>
  <c r="E21" i="18"/>
  <c r="E28" i="15"/>
  <c r="E31" i="15"/>
  <c r="B25" i="25"/>
  <c r="C26" i="25"/>
  <c r="C31" i="25"/>
  <c r="C32" i="25" s="1"/>
  <c r="AS28" i="20"/>
  <c r="AS31" i="20"/>
  <c r="J22" i="14"/>
  <c r="I28" i="19"/>
  <c r="K28" i="21"/>
  <c r="U28" i="22"/>
  <c r="U31" i="22"/>
  <c r="AU28" i="24"/>
  <c r="AU31" i="24"/>
  <c r="AU32" i="24" s="1"/>
  <c r="AW42" i="24" s="1"/>
  <c r="AW43" i="24" s="1"/>
  <c r="Y21" i="22"/>
  <c r="G24" i="27"/>
  <c r="AU24" i="27"/>
  <c r="BY28" i="27"/>
  <c r="BY23" i="27"/>
  <c r="E31" i="21"/>
  <c r="M28" i="21"/>
  <c r="I21" i="21"/>
  <c r="U25" i="19"/>
  <c r="U31" i="19"/>
  <c r="T25" i="19"/>
  <c r="U28" i="19"/>
  <c r="M25" i="21"/>
  <c r="M31" i="21"/>
  <c r="M32" i="21"/>
  <c r="L25" i="21"/>
  <c r="S24" i="22"/>
  <c r="W24" i="22"/>
  <c r="M28" i="24"/>
  <c r="Y28" i="24"/>
  <c r="AC28" i="24"/>
  <c r="BQ28" i="24"/>
  <c r="AQ23" i="27"/>
  <c r="AQ28" i="27"/>
  <c r="BA23" i="27"/>
  <c r="AI23" i="27"/>
  <c r="AI28" i="27"/>
  <c r="B25" i="9"/>
  <c r="B25" i="18"/>
  <c r="AM28" i="20"/>
  <c r="BA32" i="24"/>
  <c r="G33" i="9"/>
  <c r="E42" i="9"/>
  <c r="E43" i="9" s="1"/>
  <c r="W31" i="22"/>
  <c r="S31" i="22"/>
  <c r="Y28" i="22"/>
  <c r="S31" i="4"/>
  <c r="M31" i="4"/>
  <c r="W28" i="4"/>
  <c r="O28" i="4"/>
  <c r="BC42" i="24"/>
  <c r="BC43" i="24" s="1"/>
  <c r="I28" i="21"/>
  <c r="I29" i="21" s="1"/>
  <c r="AU33" i="27"/>
  <c r="AU26" i="27"/>
  <c r="AU31" i="27"/>
  <c r="G31" i="27"/>
  <c r="E28" i="18"/>
  <c r="W28" i="22"/>
  <c r="W29" i="22" s="1"/>
  <c r="S22" i="22"/>
  <c r="Q25" i="21"/>
  <c r="Q31" i="21"/>
  <c r="Q32" i="21" s="1"/>
  <c r="P25" i="21"/>
  <c r="O33" i="27"/>
  <c r="O26" i="27"/>
  <c r="O31" i="27"/>
  <c r="E31" i="4"/>
  <c r="G23" i="9"/>
  <c r="C29" i="18"/>
  <c r="B22" i="18"/>
  <c r="C22" i="18"/>
  <c r="C23" i="18"/>
  <c r="E23" i="18"/>
  <c r="G9" i="28"/>
  <c r="G24" i="28" s="1"/>
  <c r="E6" i="28"/>
  <c r="E9" i="28" s="1"/>
  <c r="M6" i="28"/>
  <c r="K9" i="28"/>
  <c r="K24" i="28" s="1"/>
  <c r="E7" i="28"/>
  <c r="E8" i="28" s="1"/>
  <c r="C9" i="28"/>
  <c r="C7" i="28"/>
  <c r="I9" i="28"/>
  <c r="I24" i="28"/>
  <c r="I31" i="28" s="1"/>
  <c r="I7" i="28"/>
  <c r="I8" i="28" s="1"/>
  <c r="G7" i="28"/>
  <c r="K7" i="28"/>
  <c r="O7" i="28"/>
  <c r="Q7" i="28"/>
  <c r="U7" i="28"/>
  <c r="F18" i="28"/>
  <c r="J18" i="28"/>
  <c r="T18" i="28"/>
  <c r="G18" i="28"/>
  <c r="K18" i="28"/>
  <c r="U18" i="28"/>
  <c r="C24" i="28"/>
  <c r="C26" i="28" s="1"/>
  <c r="O9" i="28"/>
  <c r="N7" i="28"/>
  <c r="O8" i="28"/>
  <c r="K8" i="28"/>
  <c r="K21" i="28" s="1"/>
  <c r="K26" i="28"/>
  <c r="I26" i="28"/>
  <c r="U9" i="28"/>
  <c r="U24" i="28" s="1"/>
  <c r="U26" i="28" s="1"/>
  <c r="S9" i="28"/>
  <c r="S24" i="28" s="1"/>
  <c r="Q8" i="28"/>
  <c r="Q9" i="28"/>
  <c r="Q24" i="28" s="1"/>
  <c r="S7" i="28"/>
  <c r="S8" i="28"/>
  <c r="E21" i="28"/>
  <c r="Q21" i="28"/>
  <c r="T7" i="28"/>
  <c r="U8" i="28" s="1"/>
  <c r="U21" i="28" s="1"/>
  <c r="Q26" i="28"/>
  <c r="E23" i="28"/>
  <c r="AJ18" i="19"/>
  <c r="AK18" i="19"/>
  <c r="AL18" i="19"/>
  <c r="AM18" i="19"/>
  <c r="AK21" i="19"/>
  <c r="AI31" i="19"/>
  <c r="AH25" i="19"/>
  <c r="AI25" i="19"/>
  <c r="AI7" i="19"/>
  <c r="AI8" i="19" s="1"/>
  <c r="AM9" i="19"/>
  <c r="AM24" i="19" s="1"/>
  <c r="AK9" i="19"/>
  <c r="AK24" i="19" s="1"/>
  <c r="AM7" i="19"/>
  <c r="AM8" i="19" s="1"/>
  <c r="AM21" i="19" s="1"/>
  <c r="AK7" i="19"/>
  <c r="AK8" i="19"/>
  <c r="C6" i="29"/>
  <c r="C7" i="29"/>
  <c r="C8" i="29" s="1"/>
  <c r="E8" i="29"/>
  <c r="E9" i="29"/>
  <c r="E24" i="29"/>
  <c r="E18" i="29"/>
  <c r="D18" i="29"/>
  <c r="E21" i="29"/>
  <c r="E23" i="29" s="1"/>
  <c r="C9" i="29"/>
  <c r="C24" i="29" s="1"/>
  <c r="E31" i="29"/>
  <c r="E28" i="29"/>
  <c r="G26" i="29"/>
  <c r="G31" i="29"/>
  <c r="G7" i="29"/>
  <c r="G8" i="29" s="1"/>
  <c r="G21" i="29" s="1"/>
  <c r="F18" i="29"/>
  <c r="G18" i="29"/>
  <c r="E9" i="30"/>
  <c r="E24" i="30"/>
  <c r="E26" i="30" s="1"/>
  <c r="C9" i="30"/>
  <c r="C7" i="30"/>
  <c r="C8" i="30"/>
  <c r="D7" i="30"/>
  <c r="E8" i="30" s="1"/>
  <c r="E21" i="30" s="1"/>
  <c r="D18" i="30"/>
  <c r="E18" i="30"/>
  <c r="C21" i="30"/>
  <c r="C23" i="30" s="1"/>
  <c r="C24" i="30"/>
  <c r="C26" i="30" s="1"/>
  <c r="C31" i="30"/>
  <c r="G9" i="30"/>
  <c r="G24" i="30"/>
  <c r="G31" i="30" s="1"/>
  <c r="G7" i="30"/>
  <c r="G8" i="30" s="1"/>
  <c r="W18" i="30"/>
  <c r="W7" i="30"/>
  <c r="W8" i="30" s="1"/>
  <c r="W21" i="30" s="1"/>
  <c r="U7" i="30"/>
  <c r="U8" i="30" s="1"/>
  <c r="Q18" i="30"/>
  <c r="Q9" i="30"/>
  <c r="Q24" i="30" s="1"/>
  <c r="Q7" i="30"/>
  <c r="Q8" i="30"/>
  <c r="Q21" i="30"/>
  <c r="Q23" i="30" s="1"/>
  <c r="O7" i="30"/>
  <c r="O8" i="30" s="1"/>
  <c r="M18" i="30"/>
  <c r="M9" i="30"/>
  <c r="M24" i="30" s="1"/>
  <c r="M7" i="30"/>
  <c r="M8" i="30"/>
  <c r="M21" i="30" s="1"/>
  <c r="K9" i="30"/>
  <c r="K7" i="30"/>
  <c r="K8" i="30"/>
  <c r="K21" i="30" s="1"/>
  <c r="I9" i="30"/>
  <c r="I24" i="30" s="1"/>
  <c r="I7" i="30"/>
  <c r="I8" i="30"/>
  <c r="I21" i="30" s="1"/>
  <c r="K24" i="30"/>
  <c r="K26" i="30"/>
  <c r="K31" i="30"/>
  <c r="S7" i="30"/>
  <c r="S8" i="30" s="1"/>
  <c r="U31" i="30"/>
  <c r="U32" i="30" s="1"/>
  <c r="U26" i="30"/>
  <c r="W31" i="30"/>
  <c r="W26" i="30"/>
  <c r="S26" i="30"/>
  <c r="S31" i="30"/>
  <c r="O24" i="30"/>
  <c r="O26" i="30"/>
  <c r="O31" i="30"/>
  <c r="E7" i="31"/>
  <c r="E8" i="31" s="1"/>
  <c r="C6" i="31"/>
  <c r="G9" i="31"/>
  <c r="G24" i="31"/>
  <c r="G26" i="31" s="1"/>
  <c r="C9" i="31"/>
  <c r="C7" i="31"/>
  <c r="C8" i="31"/>
  <c r="G7" i="31"/>
  <c r="G8" i="31" s="1"/>
  <c r="G21" i="31" s="1"/>
  <c r="F18" i="31"/>
  <c r="G18" i="31"/>
  <c r="C21" i="31"/>
  <c r="C28" i="31"/>
  <c r="C24" i="31"/>
  <c r="C26" i="31" s="1"/>
  <c r="C23" i="31"/>
  <c r="E31" i="31"/>
  <c r="G9" i="32"/>
  <c r="G24" i="32"/>
  <c r="G26" i="32" s="1"/>
  <c r="C6" i="32"/>
  <c r="C9" i="32"/>
  <c r="C24" i="32" s="1"/>
  <c r="E7" i="32"/>
  <c r="E8" i="32" s="1"/>
  <c r="E9" i="32"/>
  <c r="G18" i="32"/>
  <c r="G7" i="32"/>
  <c r="G8" i="32" s="1"/>
  <c r="G21" i="32" s="1"/>
  <c r="F18" i="32"/>
  <c r="C7" i="32"/>
  <c r="C8" i="32"/>
  <c r="C21" i="32" s="1"/>
  <c r="E24" i="32"/>
  <c r="E26" i="32" s="1"/>
  <c r="I31" i="32"/>
  <c r="I9" i="32"/>
  <c r="I24" i="32" s="1"/>
  <c r="I26" i="32" s="1"/>
  <c r="I7" i="32"/>
  <c r="I8" i="32"/>
  <c r="I21" i="32" s="1"/>
  <c r="I23" i="32" s="1"/>
  <c r="Q9" i="32"/>
  <c r="Q24" i="32" s="1"/>
  <c r="Q7" i="32"/>
  <c r="Q8" i="32" s="1"/>
  <c r="Q21" i="32" s="1"/>
  <c r="P18" i="32"/>
  <c r="Q27" i="32"/>
  <c r="K9" i="32"/>
  <c r="K24" i="32" s="1"/>
  <c r="K7" i="32"/>
  <c r="K8" i="32" s="1"/>
  <c r="K21" i="32" s="1"/>
  <c r="J18" i="32"/>
  <c r="K27" i="32"/>
  <c r="O6" i="32"/>
  <c r="O9" i="32"/>
  <c r="O24" i="32" s="1"/>
  <c r="O7" i="32"/>
  <c r="O8" i="32" s="1"/>
  <c r="W9" i="33"/>
  <c r="W24" i="33" s="1"/>
  <c r="Y9" i="33"/>
  <c r="Y24" i="33"/>
  <c r="Y26" i="33" s="1"/>
  <c r="S9" i="33"/>
  <c r="S24" i="33"/>
  <c r="U9" i="33"/>
  <c r="U24" i="33" s="1"/>
  <c r="W7" i="33"/>
  <c r="W8" i="33"/>
  <c r="Y7" i="33"/>
  <c r="Y8" i="33" s="1"/>
  <c r="Y21" i="33" s="1"/>
  <c r="Y18" i="33"/>
  <c r="S7" i="33"/>
  <c r="S8" i="33" s="1"/>
  <c r="U7" i="33"/>
  <c r="U8" i="33"/>
  <c r="U21" i="33" s="1"/>
  <c r="U18" i="33"/>
  <c r="O9" i="33"/>
  <c r="Q9" i="33"/>
  <c r="Q24" i="33" s="1"/>
  <c r="K9" i="33"/>
  <c r="M9" i="33"/>
  <c r="M24" i="33"/>
  <c r="M33" i="33" s="1"/>
  <c r="K7" i="33"/>
  <c r="K8" i="33"/>
  <c r="M7" i="33"/>
  <c r="M8" i="33" s="1"/>
  <c r="M21" i="33" s="1"/>
  <c r="O7" i="33"/>
  <c r="O8" i="33" s="1"/>
  <c r="Q7" i="33"/>
  <c r="Q8" i="33"/>
  <c r="Q21" i="33"/>
  <c r="Q28" i="33" s="1"/>
  <c r="Q18" i="33"/>
  <c r="Q27" i="33"/>
  <c r="I9" i="33"/>
  <c r="I24" i="33"/>
  <c r="G7" i="33"/>
  <c r="G9" i="33"/>
  <c r="G8" i="33"/>
  <c r="I18" i="33"/>
  <c r="I27" i="33"/>
  <c r="I7" i="33"/>
  <c r="I8" i="33"/>
  <c r="I21" i="33" s="1"/>
  <c r="E9" i="33"/>
  <c r="E24" i="33"/>
  <c r="E26" i="33"/>
  <c r="D18" i="33"/>
  <c r="E27" i="33"/>
  <c r="E7" i="33"/>
  <c r="E8" i="33"/>
  <c r="E21" i="33" s="1"/>
  <c r="C9" i="33"/>
  <c r="C7" i="33"/>
  <c r="C8" i="33" s="1"/>
  <c r="W21" i="33"/>
  <c r="W28" i="33" s="1"/>
  <c r="S26" i="33"/>
  <c r="S31" i="33"/>
  <c r="O24" i="33"/>
  <c r="O31" i="33" s="1"/>
  <c r="K21" i="33"/>
  <c r="K23" i="33" s="1"/>
  <c r="G21" i="33"/>
  <c r="G23" i="33" s="1"/>
  <c r="G24" i="33"/>
  <c r="E31" i="33"/>
  <c r="C24" i="33"/>
  <c r="W23" i="33"/>
  <c r="K28" i="33"/>
  <c r="G26" i="33"/>
  <c r="G31" i="33"/>
  <c r="C26" i="33"/>
  <c r="C31" i="33"/>
  <c r="C32" i="33" s="1"/>
  <c r="O9" i="34"/>
  <c r="K9" i="34"/>
  <c r="K24" i="34"/>
  <c r="K31" i="34" s="1"/>
  <c r="Q9" i="34"/>
  <c r="Q24" i="34"/>
  <c r="Q31" i="34"/>
  <c r="M9" i="34"/>
  <c r="M24" i="34" s="1"/>
  <c r="J7" i="34"/>
  <c r="K8" i="34" s="1"/>
  <c r="N7" i="34"/>
  <c r="O8" i="34"/>
  <c r="L18" i="34"/>
  <c r="M7" i="34"/>
  <c r="M8" i="34" s="1"/>
  <c r="M21" i="34" s="1"/>
  <c r="Q7" i="34"/>
  <c r="Q8" i="34" s="1"/>
  <c r="Q21" i="34" s="1"/>
  <c r="M18" i="34"/>
  <c r="Q18" i="34"/>
  <c r="G9" i="34"/>
  <c r="G24" i="34" s="1"/>
  <c r="G7" i="34"/>
  <c r="C6" i="34"/>
  <c r="C9" i="34" s="1"/>
  <c r="E9" i="34"/>
  <c r="E24" i="34"/>
  <c r="E26" i="34" s="1"/>
  <c r="E7" i="34"/>
  <c r="E8" i="34"/>
  <c r="E21" i="34"/>
  <c r="E28" i="34" s="1"/>
  <c r="D18" i="34"/>
  <c r="E27" i="34"/>
  <c r="Q26" i="34"/>
  <c r="O21" i="34"/>
  <c r="K26" i="34"/>
  <c r="C7" i="34"/>
  <c r="C8" i="34" s="1"/>
  <c r="E23" i="34"/>
  <c r="O23" i="34"/>
  <c r="O28" i="34"/>
  <c r="S21" i="33" l="1"/>
  <c r="O26" i="32"/>
  <c r="O31" i="32"/>
  <c r="M23" i="30"/>
  <c r="M31" i="34"/>
  <c r="M26" i="34"/>
  <c r="E28" i="33"/>
  <c r="E23" i="33"/>
  <c r="Q26" i="33"/>
  <c r="Q31" i="33"/>
  <c r="O21" i="32"/>
  <c r="C28" i="32"/>
  <c r="C23" i="32"/>
  <c r="W28" i="30"/>
  <c r="W23" i="30"/>
  <c r="K23" i="32"/>
  <c r="I31" i="30"/>
  <c r="I32" i="30" s="1"/>
  <c r="I26" i="30"/>
  <c r="Q26" i="30"/>
  <c r="Q31" i="30"/>
  <c r="O32" i="30" s="1"/>
  <c r="C21" i="34"/>
  <c r="Q28" i="34"/>
  <c r="Q23" i="34"/>
  <c r="O32" i="33"/>
  <c r="O42" i="33" s="1"/>
  <c r="O43" i="33" s="1"/>
  <c r="C21" i="33"/>
  <c r="M23" i="33"/>
  <c r="M28" i="33"/>
  <c r="U26" i="33"/>
  <c r="K26" i="32"/>
  <c r="Q26" i="32"/>
  <c r="E21" i="32"/>
  <c r="G23" i="31"/>
  <c r="G28" i="31"/>
  <c r="K23" i="30"/>
  <c r="K28" i="30"/>
  <c r="G21" i="30"/>
  <c r="E28" i="30"/>
  <c r="E23" i="30"/>
  <c r="G28" i="29"/>
  <c r="G23" i="29"/>
  <c r="C21" i="29"/>
  <c r="C24" i="34"/>
  <c r="O21" i="33"/>
  <c r="Q23" i="32"/>
  <c r="E21" i="31"/>
  <c r="O21" i="30"/>
  <c r="O29" i="34"/>
  <c r="G26" i="34"/>
  <c r="G31" i="34"/>
  <c r="M23" i="34"/>
  <c r="M28" i="34"/>
  <c r="K21" i="34"/>
  <c r="C42" i="33"/>
  <c r="E33" i="33"/>
  <c r="C33" i="33"/>
  <c r="I28" i="33"/>
  <c r="I23" i="33"/>
  <c r="U23" i="33"/>
  <c r="Y23" i="33"/>
  <c r="W31" i="33"/>
  <c r="W26" i="33"/>
  <c r="K31" i="32"/>
  <c r="Q31" i="32"/>
  <c r="G23" i="32"/>
  <c r="G28" i="32"/>
  <c r="C31" i="32"/>
  <c r="C26" i="32"/>
  <c r="S21" i="30"/>
  <c r="I28" i="30"/>
  <c r="I29" i="30" s="1"/>
  <c r="I23" i="30"/>
  <c r="M26" i="30"/>
  <c r="U21" i="30"/>
  <c r="G32" i="30"/>
  <c r="C31" i="29"/>
  <c r="C32" i="29" s="1"/>
  <c r="G33" i="29" s="1"/>
  <c r="C33" i="29"/>
  <c r="B33" i="29" s="1"/>
  <c r="D42" i="29" s="1"/>
  <c r="C26" i="29"/>
  <c r="E33" i="29"/>
  <c r="S21" i="28"/>
  <c r="O26" i="33"/>
  <c r="M26" i="33"/>
  <c r="Q28" i="32"/>
  <c r="I28" i="32"/>
  <c r="G26" i="30"/>
  <c r="S32" i="30"/>
  <c r="C42" i="29"/>
  <c r="C43" i="29" s="1"/>
  <c r="E26" i="29"/>
  <c r="U23" i="28"/>
  <c r="U28" i="28"/>
  <c r="I21" i="28"/>
  <c r="E24" i="28"/>
  <c r="AI21" i="19"/>
  <c r="S26" i="28"/>
  <c r="S31" i="28"/>
  <c r="G28" i="33"/>
  <c r="Q23" i="33"/>
  <c r="M31" i="33"/>
  <c r="K28" i="32"/>
  <c r="E31" i="32"/>
  <c r="G31" i="31"/>
  <c r="E32" i="31" s="1"/>
  <c r="C31" i="31"/>
  <c r="Q28" i="30"/>
  <c r="C28" i="30"/>
  <c r="E31" i="30"/>
  <c r="AM28" i="19"/>
  <c r="AK31" i="19"/>
  <c r="O21" i="28"/>
  <c r="AK28" i="19"/>
  <c r="E31" i="34"/>
  <c r="O24" i="34"/>
  <c r="I31" i="33"/>
  <c r="I26" i="33"/>
  <c r="K24" i="33"/>
  <c r="G31" i="32"/>
  <c r="E28" i="28"/>
  <c r="K28" i="28"/>
  <c r="K23" i="28"/>
  <c r="M7" i="28"/>
  <c r="M9" i="28"/>
  <c r="AM31" i="19"/>
  <c r="AI32" i="19" s="1"/>
  <c r="Q28" i="28"/>
  <c r="Q23" i="28"/>
  <c r="G26" i="28"/>
  <c r="G33" i="28"/>
  <c r="Q31" i="28"/>
  <c r="T25" i="28"/>
  <c r="U33" i="28"/>
  <c r="U31" i="28"/>
  <c r="U32" i="28" s="1"/>
  <c r="U25" i="28"/>
  <c r="O42" i="28"/>
  <c r="O43" i="28" s="1"/>
  <c r="O24" i="28"/>
  <c r="K31" i="28"/>
  <c r="C31" i="28"/>
  <c r="E30" i="18"/>
  <c r="E36" i="18"/>
  <c r="C36" i="18"/>
  <c r="C30" i="18"/>
  <c r="K8" i="27"/>
  <c r="Q42" i="28"/>
  <c r="S42" i="28"/>
  <c r="S43" i="28" s="1"/>
  <c r="U31" i="4"/>
  <c r="C28" i="21"/>
  <c r="C22" i="21"/>
  <c r="I31" i="21"/>
  <c r="I24" i="19"/>
  <c r="I42" i="19"/>
  <c r="I43" i="19" s="1"/>
  <c r="C42" i="25"/>
  <c r="C33" i="25"/>
  <c r="Q28" i="21"/>
  <c r="AC26" i="27"/>
  <c r="BM21" i="27"/>
  <c r="C33" i="18"/>
  <c r="E42" i="18"/>
  <c r="E43" i="18" s="1"/>
  <c r="C42" i="18"/>
  <c r="C43" i="18" s="1"/>
  <c r="E33" i="18"/>
  <c r="G26" i="9"/>
  <c r="C26" i="9"/>
  <c r="E26" i="9"/>
  <c r="O31" i="4"/>
  <c r="S28" i="4"/>
  <c r="Q28" i="14"/>
  <c r="AY42" i="24"/>
  <c r="G33" i="27"/>
  <c r="G26" i="27"/>
  <c r="E23" i="9"/>
  <c r="C23" i="9"/>
  <c r="I18" i="4"/>
  <c r="H18" i="4"/>
  <c r="E26" i="15"/>
  <c r="G26" i="15"/>
  <c r="I26" i="15"/>
  <c r="S26" i="15"/>
  <c r="AY26" i="27"/>
  <c r="R22" i="22"/>
  <c r="S28" i="22"/>
  <c r="AO28" i="24"/>
  <c r="BO18" i="27"/>
  <c r="BN18" i="27"/>
  <c r="BO27" i="27"/>
  <c r="BO21" i="27"/>
  <c r="BC27" i="27"/>
  <c r="BC18" i="27"/>
  <c r="BB18" i="27"/>
  <c r="BC21" i="27"/>
  <c r="AI31" i="27"/>
  <c r="AI33" i="27"/>
  <c r="BF7" i="27"/>
  <c r="BG8" i="27" s="1"/>
  <c r="BG9" i="27"/>
  <c r="BG24" i="27" s="1"/>
  <c r="BW9" i="27"/>
  <c r="BW7" i="27"/>
  <c r="BW8" i="27" s="1"/>
  <c r="Y31" i="22"/>
  <c r="G31" i="12"/>
  <c r="AC28" i="20"/>
  <c r="AC31" i="20"/>
  <c r="AS26" i="20"/>
  <c r="AA26" i="20"/>
  <c r="AK26" i="20"/>
  <c r="AU26" i="20"/>
  <c r="AM26" i="20"/>
  <c r="C26" i="20"/>
  <c r="E26" i="20"/>
  <c r="AE26" i="20"/>
  <c r="W26" i="20"/>
  <c r="Q26" i="20"/>
  <c r="AC26" i="20"/>
  <c r="M31" i="22"/>
  <c r="K32" i="22" s="1"/>
  <c r="M28" i="22"/>
  <c r="C38" i="25"/>
  <c r="B39" i="25"/>
  <c r="G42" i="9"/>
  <c r="G43" i="9" s="1"/>
  <c r="C42" i="9"/>
  <c r="C43" i="9" s="1"/>
  <c r="C33" i="9"/>
  <c r="E33" i="9"/>
  <c r="I25" i="23"/>
  <c r="H25" i="23"/>
  <c r="I31" i="23"/>
  <c r="K32" i="14"/>
  <c r="E31" i="19"/>
  <c r="I26" i="27"/>
  <c r="I33" i="27"/>
  <c r="H18" i="26"/>
  <c r="I18" i="26"/>
  <c r="I21" i="26"/>
  <c r="I27" i="26"/>
  <c r="U28" i="26"/>
  <c r="C7" i="26"/>
  <c r="C8" i="26" s="1"/>
  <c r="C9" i="26"/>
  <c r="BW31" i="24"/>
  <c r="BW28" i="24"/>
  <c r="AK28" i="20"/>
  <c r="F25" i="14"/>
  <c r="O25" i="26"/>
  <c r="BY31" i="27"/>
  <c r="BM28" i="27"/>
  <c r="AC31" i="27"/>
  <c r="U28" i="27"/>
  <c r="U31" i="27"/>
  <c r="S9" i="27"/>
  <c r="AN7" i="27"/>
  <c r="AO8" i="27" s="1"/>
  <c r="AO21" i="27" s="1"/>
  <c r="AO9" i="27"/>
  <c r="AO24" i="27" s="1"/>
  <c r="C9" i="27"/>
  <c r="BI7" i="27"/>
  <c r="BI8" i="27" s="1"/>
  <c r="BI9" i="27"/>
  <c r="C7" i="27"/>
  <c r="M7" i="26"/>
  <c r="M8" i="26" s="1"/>
  <c r="M9" i="26"/>
  <c r="M24" i="26" s="1"/>
  <c r="BG18" i="24"/>
  <c r="BF18" i="24"/>
  <c r="BG27" i="24"/>
  <c r="BG21" i="24"/>
  <c r="AQ18" i="24"/>
  <c r="AQ27" i="24"/>
  <c r="AP18" i="24"/>
  <c r="X7" i="17"/>
  <c r="Y8" i="17" s="1"/>
  <c r="Y9" i="17"/>
  <c r="L7" i="17"/>
  <c r="M8" i="17" s="1"/>
  <c r="M9" i="17"/>
  <c r="G31" i="22"/>
  <c r="G25" i="22"/>
  <c r="AS28" i="27"/>
  <c r="BS6" i="27"/>
  <c r="X7" i="26"/>
  <c r="Y8" i="26" s="1"/>
  <c r="Y9" i="26"/>
  <c r="CC9" i="24"/>
  <c r="CC24" i="24" s="1"/>
  <c r="CC7" i="24"/>
  <c r="CC8" i="24" s="1"/>
  <c r="AH7" i="24"/>
  <c r="AI8" i="24" s="1"/>
  <c r="AI9" i="24"/>
  <c r="AD7" i="24"/>
  <c r="AE8" i="24" s="1"/>
  <c r="AE9" i="24"/>
  <c r="O7" i="24"/>
  <c r="O8" i="24" s="1"/>
  <c r="O9" i="24"/>
  <c r="K7" i="24"/>
  <c r="K8" i="24" s="1"/>
  <c r="K9" i="24"/>
  <c r="C28" i="22"/>
  <c r="C31" i="22"/>
  <c r="G26" i="20"/>
  <c r="CA31" i="27"/>
  <c r="CA32" i="27" s="1"/>
  <c r="CA42" i="27" s="1"/>
  <c r="CA43" i="27" s="1"/>
  <c r="CA25" i="27"/>
  <c r="CA26" i="27"/>
  <c r="AS9" i="27"/>
  <c r="AS24" i="27" s="1"/>
  <c r="AS31" i="27" s="1"/>
  <c r="AS7" i="27"/>
  <c r="AS8" i="27" s="1"/>
  <c r="AE9" i="27"/>
  <c r="AD7" i="27"/>
  <c r="AE8" i="27" s="1"/>
  <c r="Z7" i="27"/>
  <c r="AA8" i="27" s="1"/>
  <c r="AA9" i="27"/>
  <c r="V7" i="27"/>
  <c r="W8" i="27" s="1"/>
  <c r="W9" i="27"/>
  <c r="C8" i="27"/>
  <c r="O31" i="26"/>
  <c r="O28" i="26"/>
  <c r="K7" i="26"/>
  <c r="K8" i="26" s="1"/>
  <c r="K9" i="26"/>
  <c r="B25" i="24"/>
  <c r="C9" i="21"/>
  <c r="AE9" i="19"/>
  <c r="AE24" i="19" s="1"/>
  <c r="AE7" i="19"/>
  <c r="AI42" i="19"/>
  <c r="AI43" i="19" s="1"/>
  <c r="S31" i="19"/>
  <c r="BU18" i="27"/>
  <c r="BG21" i="27"/>
  <c r="M18" i="27"/>
  <c r="L18" i="27"/>
  <c r="BU7" i="27"/>
  <c r="BU8" i="27" s="1"/>
  <c r="BU21" i="27" s="1"/>
  <c r="BU9" i="27"/>
  <c r="BU24" i="27" s="1"/>
  <c r="BJ7" i="27"/>
  <c r="BK8" i="27" s="1"/>
  <c r="BK21" i="27" s="1"/>
  <c r="BK9" i="27"/>
  <c r="BK24" i="27" s="1"/>
  <c r="O8" i="27"/>
  <c r="T25" i="26"/>
  <c r="G8" i="26"/>
  <c r="G9" i="26"/>
  <c r="CC21" i="24"/>
  <c r="CB18" i="24"/>
  <c r="CC18" i="24"/>
  <c r="CC27" i="24"/>
  <c r="BZ7" i="24"/>
  <c r="CA8" i="24" s="1"/>
  <c r="CA9" i="24"/>
  <c r="BS7" i="24"/>
  <c r="BS8" i="24" s="1"/>
  <c r="BS9" i="24"/>
  <c r="BO7" i="24"/>
  <c r="BO8" i="24" s="1"/>
  <c r="BO21" i="24" s="1"/>
  <c r="BO9" i="24"/>
  <c r="BO24" i="24" s="1"/>
  <c r="E9" i="24"/>
  <c r="E24" i="24" s="1"/>
  <c r="E7" i="24"/>
  <c r="F18" i="21"/>
  <c r="G18" i="21"/>
  <c r="G27" i="21"/>
  <c r="G21" i="21"/>
  <c r="AE28" i="19"/>
  <c r="C7" i="19"/>
  <c r="C8" i="19" s="1"/>
  <c r="C9" i="19"/>
  <c r="Q7" i="19"/>
  <c r="Q8" i="19" s="1"/>
  <c r="Q9" i="19"/>
  <c r="R18" i="17"/>
  <c r="S21" i="17"/>
  <c r="S27" i="17"/>
  <c r="S18" i="17"/>
  <c r="O18" i="14"/>
  <c r="N18" i="14"/>
  <c r="O21" i="14"/>
  <c r="AM9" i="27"/>
  <c r="CC26" i="27"/>
  <c r="BK31" i="24"/>
  <c r="AA27" i="26"/>
  <c r="BU27" i="27"/>
  <c r="AY18" i="27"/>
  <c r="AX18" i="27"/>
  <c r="AY27" i="27"/>
  <c r="BE8" i="27"/>
  <c r="AK21" i="27"/>
  <c r="BQ7" i="27"/>
  <c r="BQ8" i="27" s="1"/>
  <c r="BQ9" i="27"/>
  <c r="M27" i="26"/>
  <c r="BN18" i="24"/>
  <c r="BA21" i="24"/>
  <c r="AJ18" i="24"/>
  <c r="AK18" i="24"/>
  <c r="AK27" i="24"/>
  <c r="W21" i="24"/>
  <c r="W18" i="24"/>
  <c r="W27" i="24"/>
  <c r="BU9" i="24"/>
  <c r="BU24" i="24" s="1"/>
  <c r="BU7" i="24"/>
  <c r="BU8" i="24" s="1"/>
  <c r="BU21" i="24" s="1"/>
  <c r="K9" i="19"/>
  <c r="K7" i="19"/>
  <c r="K8" i="19" s="1"/>
  <c r="AJ18" i="20"/>
  <c r="AK18" i="20"/>
  <c r="K21" i="20"/>
  <c r="E18" i="14"/>
  <c r="E27" i="14"/>
  <c r="D18" i="14"/>
  <c r="G9" i="16"/>
  <c r="F7" i="16"/>
  <c r="G8" i="16" s="1"/>
  <c r="C28" i="9"/>
  <c r="C29" i="9" s="1"/>
  <c r="O31" i="19"/>
  <c r="O42" i="19"/>
  <c r="O43" i="19" s="1"/>
  <c r="U42" i="26"/>
  <c r="AQ9" i="27"/>
  <c r="AW31" i="27"/>
  <c r="AA21" i="26"/>
  <c r="I28" i="27"/>
  <c r="BT18" i="27"/>
  <c r="AS21" i="27"/>
  <c r="AG18" i="27"/>
  <c r="AF18" i="27"/>
  <c r="BM9" i="27"/>
  <c r="CA8" i="27"/>
  <c r="AU8" i="27"/>
  <c r="AK8" i="27"/>
  <c r="AF7" i="27"/>
  <c r="AG8" i="27" s="1"/>
  <c r="AG21" i="27" s="1"/>
  <c r="AG9" i="27"/>
  <c r="AG24" i="27" s="1"/>
  <c r="X7" i="27"/>
  <c r="Y8" i="27" s="1"/>
  <c r="Y21" i="27" s="1"/>
  <c r="Y9" i="27"/>
  <c r="Y24" i="27" s="1"/>
  <c r="P7" i="27"/>
  <c r="Q8" i="27" s="1"/>
  <c r="Q21" i="27" s="1"/>
  <c r="Q9" i="27"/>
  <c r="Q24" i="27" s="1"/>
  <c r="M8" i="27"/>
  <c r="M21" i="27" s="1"/>
  <c r="E8" i="27"/>
  <c r="E21" i="27" s="1"/>
  <c r="BA9" i="27"/>
  <c r="K9" i="27"/>
  <c r="K7" i="27"/>
  <c r="M21" i="26"/>
  <c r="Q21" i="26"/>
  <c r="V7" i="26"/>
  <c r="W8" i="26" s="1"/>
  <c r="W21" i="26" s="1"/>
  <c r="W9" i="26"/>
  <c r="W24" i="26" s="1"/>
  <c r="S8" i="26"/>
  <c r="O18" i="24"/>
  <c r="N18" i="24"/>
  <c r="E8" i="24"/>
  <c r="BL7" i="24"/>
  <c r="BM8" i="24" s="1"/>
  <c r="BM9" i="24"/>
  <c r="BE9" i="24"/>
  <c r="BE7" i="24"/>
  <c r="BE8" i="24" s="1"/>
  <c r="AP7" i="24"/>
  <c r="AQ8" i="24" s="1"/>
  <c r="AQ21" i="24" s="1"/>
  <c r="AQ9" i="24"/>
  <c r="AQ24" i="24" s="1"/>
  <c r="U9" i="24"/>
  <c r="U7" i="24"/>
  <c r="U8" i="24" s="1"/>
  <c r="D7" i="22"/>
  <c r="E8" i="22" s="1"/>
  <c r="E21" i="22" s="1"/>
  <c r="E9" i="22"/>
  <c r="E24" i="22" s="1"/>
  <c r="O9" i="17"/>
  <c r="O24" i="17" s="1"/>
  <c r="O7" i="17"/>
  <c r="G9" i="17"/>
  <c r="G7" i="17"/>
  <c r="E21" i="24"/>
  <c r="BY21" i="24"/>
  <c r="AG9" i="24"/>
  <c r="AG7" i="24"/>
  <c r="AG8" i="24" s="1"/>
  <c r="AC9" i="24"/>
  <c r="O8" i="22"/>
  <c r="K9" i="21"/>
  <c r="W18" i="19"/>
  <c r="W21" i="19"/>
  <c r="W27" i="19"/>
  <c r="S8" i="19"/>
  <c r="S21" i="19" s="1"/>
  <c r="AE8" i="19"/>
  <c r="AE21" i="19" s="1"/>
  <c r="AA9" i="19"/>
  <c r="AA7" i="19"/>
  <c r="AA8" i="19" s="1"/>
  <c r="AA21" i="19" s="1"/>
  <c r="AU28" i="20"/>
  <c r="AU21" i="20"/>
  <c r="AT18" i="20"/>
  <c r="Y18" i="20"/>
  <c r="AQ8" i="20"/>
  <c r="AI8" i="20"/>
  <c r="I9" i="20"/>
  <c r="I7" i="20"/>
  <c r="I8" i="20" s="1"/>
  <c r="B25" i="20"/>
  <c r="AD25" i="20"/>
  <c r="AI7" i="20"/>
  <c r="AI9" i="20"/>
  <c r="C8" i="14"/>
  <c r="P7" i="15"/>
  <c r="Q8" i="15" s="1"/>
  <c r="Q9" i="15"/>
  <c r="E8" i="23"/>
  <c r="E21" i="23" s="1"/>
  <c r="W7" i="23"/>
  <c r="W9" i="23"/>
  <c r="W24" i="23" s="1"/>
  <c r="S7" i="23"/>
  <c r="S8" i="23" s="1"/>
  <c r="S21" i="23" s="1"/>
  <c r="S9" i="23"/>
  <c r="S24" i="23" s="1"/>
  <c r="G8" i="28"/>
  <c r="G21" i="28" s="1"/>
  <c r="Q27" i="26"/>
  <c r="E27" i="26"/>
  <c r="I18" i="22"/>
  <c r="H18" i="22"/>
  <c r="I21" i="22"/>
  <c r="E8" i="21"/>
  <c r="V18" i="19"/>
  <c r="AB7" i="19"/>
  <c r="AC8" i="19" s="1"/>
  <c r="AC9" i="19"/>
  <c r="S27" i="20"/>
  <c r="AQ9" i="20"/>
  <c r="AE8" i="20"/>
  <c r="O8" i="20"/>
  <c r="O21" i="20" s="1"/>
  <c r="AG8" i="20"/>
  <c r="AG21" i="20" s="1"/>
  <c r="Y9" i="20"/>
  <c r="Y24" i="20" s="1"/>
  <c r="U25" i="20" s="1"/>
  <c r="Y7" i="20"/>
  <c r="R7" i="20"/>
  <c r="S8" i="20" s="1"/>
  <c r="S21" i="20" s="1"/>
  <c r="S9" i="20"/>
  <c r="S24" i="20" s="1"/>
  <c r="O7" i="20"/>
  <c r="O9" i="20"/>
  <c r="O24" i="20" s="1"/>
  <c r="I28" i="17"/>
  <c r="G8" i="17"/>
  <c r="Q8" i="17"/>
  <c r="X7" i="14"/>
  <c r="Y8" i="14" s="1"/>
  <c r="Y9" i="14"/>
  <c r="U8" i="14"/>
  <c r="O8" i="14"/>
  <c r="H7" i="14"/>
  <c r="I8" i="14" s="1"/>
  <c r="I21" i="14" s="1"/>
  <c r="I9" i="14"/>
  <c r="I24" i="14" s="1"/>
  <c r="J7" i="15"/>
  <c r="K8" i="15" s="1"/>
  <c r="K9" i="15"/>
  <c r="C9" i="15"/>
  <c r="C7" i="15"/>
  <c r="C8" i="15" s="1"/>
  <c r="C9" i="8"/>
  <c r="B7" i="8"/>
  <c r="C8" i="8" s="1"/>
  <c r="M8" i="28"/>
  <c r="BI8" i="24"/>
  <c r="AS9" i="24"/>
  <c r="AS7" i="24"/>
  <c r="AS8" i="24" s="1"/>
  <c r="AO9" i="24"/>
  <c r="Q9" i="24"/>
  <c r="Q7" i="24"/>
  <c r="Q8" i="24" s="1"/>
  <c r="M9" i="24"/>
  <c r="I8" i="22"/>
  <c r="Q7" i="22"/>
  <c r="Q8" i="22" s="1"/>
  <c r="Q9" i="22"/>
  <c r="Q24" i="22" s="1"/>
  <c r="AA18" i="19"/>
  <c r="AA27" i="19"/>
  <c r="M21" i="19"/>
  <c r="M18" i="19"/>
  <c r="AG9" i="19"/>
  <c r="F7" i="19"/>
  <c r="G8" i="19" s="1"/>
  <c r="G9" i="19"/>
  <c r="F18" i="20"/>
  <c r="G27" i="20"/>
  <c r="Y8" i="20"/>
  <c r="Y21" i="20" s="1"/>
  <c r="AO9" i="20"/>
  <c r="AO24" i="20" s="1"/>
  <c r="AO7" i="20"/>
  <c r="AO8" i="20" s="1"/>
  <c r="AO21" i="20" s="1"/>
  <c r="N18" i="17"/>
  <c r="U7" i="17"/>
  <c r="U8" i="17" s="1"/>
  <c r="U9" i="17"/>
  <c r="W9" i="14"/>
  <c r="W24" i="14" s="1"/>
  <c r="W31" i="14" s="1"/>
  <c r="U32" i="14" s="1"/>
  <c r="U42" i="14" s="1"/>
  <c r="W7" i="14"/>
  <c r="W8" i="14" s="1"/>
  <c r="W21" i="14" s="1"/>
  <c r="C9" i="14"/>
  <c r="M7" i="16"/>
  <c r="M8" i="16" s="1"/>
  <c r="M9" i="16"/>
  <c r="I7" i="16"/>
  <c r="I8" i="16" s="1"/>
  <c r="I21" i="16" s="1"/>
  <c r="I9" i="16"/>
  <c r="I24" i="16" s="1"/>
  <c r="M7" i="15"/>
  <c r="M8" i="15" s="1"/>
  <c r="M9" i="15"/>
  <c r="G18" i="4"/>
  <c r="F18" i="4"/>
  <c r="K9" i="4"/>
  <c r="K7" i="4"/>
  <c r="K8" i="4" s="1"/>
  <c r="I8" i="4"/>
  <c r="K18" i="23"/>
  <c r="J18" i="23"/>
  <c r="K27" i="23"/>
  <c r="X18" i="33"/>
  <c r="Y27" i="33"/>
  <c r="I7" i="34"/>
  <c r="I8" i="34" s="1"/>
  <c r="I21" i="34" s="1"/>
  <c r="I9" i="34"/>
  <c r="I24" i="34" s="1"/>
  <c r="AG9" i="20"/>
  <c r="AG24" i="20" s="1"/>
  <c r="M9" i="20"/>
  <c r="L7" i="20"/>
  <c r="M8" i="20" s="1"/>
  <c r="O8" i="17"/>
  <c r="O21" i="17" s="1"/>
  <c r="W9" i="17"/>
  <c r="W24" i="17" s="1"/>
  <c r="W7" i="17"/>
  <c r="W8" i="17" s="1"/>
  <c r="W21" i="17" s="1"/>
  <c r="E9" i="17"/>
  <c r="E24" i="17" s="1"/>
  <c r="E7" i="17"/>
  <c r="E8" i="17" s="1"/>
  <c r="E21" i="17" s="1"/>
  <c r="O9" i="14"/>
  <c r="O24" i="14" s="1"/>
  <c r="E7" i="14"/>
  <c r="E8" i="14" s="1"/>
  <c r="E21" i="14" s="1"/>
  <c r="E9" i="14"/>
  <c r="E24" i="14" s="1"/>
  <c r="E8" i="16"/>
  <c r="E21" i="16" s="1"/>
  <c r="O9" i="16"/>
  <c r="O24" i="16" s="1"/>
  <c r="O7" i="16"/>
  <c r="O8" i="16" s="1"/>
  <c r="O21" i="16" s="1"/>
  <c r="M28" i="4"/>
  <c r="C8" i="12"/>
  <c r="M27" i="30"/>
  <c r="L18" i="30"/>
  <c r="E21" i="21"/>
  <c r="Q8" i="16"/>
  <c r="S28" i="15"/>
  <c r="H18" i="15"/>
  <c r="I27" i="15"/>
  <c r="I18" i="15"/>
  <c r="E8" i="8"/>
  <c r="J16" i="4"/>
  <c r="U8" i="4"/>
  <c r="G9" i="4"/>
  <c r="G7" i="4"/>
  <c r="G8" i="4" s="1"/>
  <c r="E8" i="4"/>
  <c r="K8" i="12"/>
  <c r="C8" i="16"/>
  <c r="K9" i="16"/>
  <c r="J7" i="16"/>
  <c r="K8" i="16" s="1"/>
  <c r="O7" i="15"/>
  <c r="O8" i="15" s="1"/>
  <c r="O21" i="15" s="1"/>
  <c r="G8" i="15"/>
  <c r="I9" i="4"/>
  <c r="C6" i="4"/>
  <c r="E9" i="12"/>
  <c r="E7" i="12"/>
  <c r="E8" i="12" s="1"/>
  <c r="S31" i="23"/>
  <c r="S28" i="23"/>
  <c r="C9" i="23"/>
  <c r="N7" i="23"/>
  <c r="O8" i="23" s="1"/>
  <c r="O9" i="23"/>
  <c r="C8" i="28"/>
  <c r="G27" i="28"/>
  <c r="AC6" i="17"/>
  <c r="T18" i="33"/>
  <c r="U27" i="33"/>
  <c r="G8" i="34"/>
  <c r="C9" i="12"/>
  <c r="Q18" i="23"/>
  <c r="G18" i="23"/>
  <c r="G21" i="23"/>
  <c r="G27" i="23"/>
  <c r="K7" i="23"/>
  <c r="K8" i="23" s="1"/>
  <c r="K21" i="23" s="1"/>
  <c r="M8" i="23"/>
  <c r="M21" i="23" s="1"/>
  <c r="E7" i="23"/>
  <c r="E9" i="23"/>
  <c r="E24" i="23" s="1"/>
  <c r="C8" i="23"/>
  <c r="M6" i="32"/>
  <c r="H18" i="34"/>
  <c r="I18" i="34"/>
  <c r="W8" i="23"/>
  <c r="W21" i="23" s="1"/>
  <c r="U9" i="23"/>
  <c r="G9" i="36"/>
  <c r="C50" i="38"/>
  <c r="B53" i="38" s="1"/>
  <c r="J60" i="38"/>
  <c r="J59" i="38"/>
  <c r="I40" i="38"/>
  <c r="I39" i="38"/>
  <c r="G60" i="38"/>
  <c r="G59" i="38"/>
  <c r="F40" i="38"/>
  <c r="F39" i="38"/>
  <c r="G38" i="38"/>
  <c r="F55" i="38"/>
  <c r="F54" i="38"/>
  <c r="F53" i="38"/>
  <c r="G51" i="38"/>
  <c r="C60" i="38"/>
  <c r="C59" i="38"/>
  <c r="B40" i="38"/>
  <c r="B39" i="38"/>
  <c r="C38" i="38"/>
  <c r="B54" i="38"/>
  <c r="K23" i="37"/>
  <c r="K28" i="37"/>
  <c r="M23" i="37"/>
  <c r="M28" i="37"/>
  <c r="M29" i="37" s="1"/>
  <c r="G21" i="37"/>
  <c r="G26" i="37"/>
  <c r="E9" i="37"/>
  <c r="E24" i="37" s="1"/>
  <c r="C9" i="37"/>
  <c r="C24" i="37" s="1"/>
  <c r="C31" i="37" s="1"/>
  <c r="C32" i="37" s="1"/>
  <c r="E26" i="37"/>
  <c r="E31" i="37"/>
  <c r="C7" i="37"/>
  <c r="C8" i="37" s="1"/>
  <c r="E7" i="37"/>
  <c r="E8" i="37" s="1"/>
  <c r="E21" i="37" s="1"/>
  <c r="D18" i="37"/>
  <c r="E18" i="37"/>
  <c r="G7" i="36"/>
  <c r="G8" i="36" s="1"/>
  <c r="I9" i="36"/>
  <c r="I24" i="36" s="1"/>
  <c r="I26" i="36" s="1"/>
  <c r="G24" i="36"/>
  <c r="G31" i="36"/>
  <c r="I7" i="36"/>
  <c r="I8" i="36" s="1"/>
  <c r="I21" i="36" s="1"/>
  <c r="H18" i="36"/>
  <c r="I18" i="36"/>
  <c r="E9" i="36"/>
  <c r="E24" i="36" s="1"/>
  <c r="E31" i="36" s="1"/>
  <c r="C9" i="36"/>
  <c r="C24" i="36" s="1"/>
  <c r="C31" i="36" s="1"/>
  <c r="C7" i="36"/>
  <c r="C8" i="36" s="1"/>
  <c r="E7" i="36"/>
  <c r="E8" i="36" s="1"/>
  <c r="E21" i="36" s="1"/>
  <c r="D18" i="36"/>
  <c r="E18" i="36"/>
  <c r="AO9" i="35"/>
  <c r="AO24" i="35" s="1"/>
  <c r="AO26" i="35"/>
  <c r="AO31" i="35"/>
  <c r="AO7" i="35"/>
  <c r="AO8" i="35" s="1"/>
  <c r="AO21" i="35" s="1"/>
  <c r="AN18" i="35"/>
  <c r="AO18" i="35"/>
  <c r="AM9" i="35"/>
  <c r="AM24" i="35" s="1"/>
  <c r="AM31" i="35" s="1"/>
  <c r="AM7" i="35"/>
  <c r="AM8" i="35" s="1"/>
  <c r="AK9" i="35"/>
  <c r="AK24" i="35" s="1"/>
  <c r="AK26" i="35" s="1"/>
  <c r="AK7" i="35"/>
  <c r="AK8" i="35" s="1"/>
  <c r="AK21" i="35" s="1"/>
  <c r="AJ18" i="35"/>
  <c r="AK18" i="35"/>
  <c r="AI9" i="35"/>
  <c r="AI24" i="35"/>
  <c r="AI31" i="35" s="1"/>
  <c r="AI7" i="35"/>
  <c r="AI8" i="35" s="1"/>
  <c r="AG9" i="35"/>
  <c r="AG24" i="35" s="1"/>
  <c r="AG26" i="35"/>
  <c r="AG31" i="35"/>
  <c r="AG7" i="35"/>
  <c r="AG8" i="35" s="1"/>
  <c r="AG21" i="35" s="1"/>
  <c r="AF18" i="35"/>
  <c r="AG18" i="35"/>
  <c r="AE9" i="35"/>
  <c r="AE24" i="35" s="1"/>
  <c r="AE31" i="35" s="1"/>
  <c r="AE7" i="35"/>
  <c r="AE8" i="35" s="1"/>
  <c r="AC9" i="35"/>
  <c r="AC24" i="35" s="1"/>
  <c r="AC26" i="35" s="1"/>
  <c r="AC7" i="35"/>
  <c r="AC8" i="35" s="1"/>
  <c r="AC21" i="35" s="1"/>
  <c r="AB18" i="35"/>
  <c r="AC18" i="35"/>
  <c r="AA9" i="35"/>
  <c r="AA24" i="35"/>
  <c r="AA31" i="35" s="1"/>
  <c r="AA7" i="35"/>
  <c r="AA8" i="35" s="1"/>
  <c r="Y9" i="35"/>
  <c r="Y24" i="35" s="1"/>
  <c r="Y26" i="35"/>
  <c r="Y31" i="35"/>
  <c r="Y7" i="35"/>
  <c r="Y8" i="35" s="1"/>
  <c r="Y21" i="35" s="1"/>
  <c r="X18" i="35"/>
  <c r="Y18" i="35"/>
  <c r="W9" i="35"/>
  <c r="W24" i="35" s="1"/>
  <c r="W31" i="35" s="1"/>
  <c r="W7" i="35"/>
  <c r="W8" i="35" s="1"/>
  <c r="U9" i="35"/>
  <c r="U24" i="35" s="1"/>
  <c r="U26" i="35" s="1"/>
  <c r="U7" i="35"/>
  <c r="U8" i="35" s="1"/>
  <c r="U21" i="35" s="1"/>
  <c r="T18" i="35"/>
  <c r="U18" i="35"/>
  <c r="Q9" i="35"/>
  <c r="Q24" i="35" s="1"/>
  <c r="Q26" i="35"/>
  <c r="Q31" i="35"/>
  <c r="Q7" i="35"/>
  <c r="Q8" i="35" s="1"/>
  <c r="Q21" i="35" s="1"/>
  <c r="P18" i="35"/>
  <c r="Q18" i="35"/>
  <c r="S9" i="35"/>
  <c r="S24" i="35" s="1"/>
  <c r="S31" i="35" s="1"/>
  <c r="S7" i="35"/>
  <c r="S8" i="35" s="1"/>
  <c r="O9" i="35"/>
  <c r="O24" i="35" s="1"/>
  <c r="O31" i="35" s="1"/>
  <c r="O7" i="35"/>
  <c r="O8" i="35" s="1"/>
  <c r="M9" i="35"/>
  <c r="M24" i="35" s="1"/>
  <c r="M26" i="35" s="1"/>
  <c r="M7" i="35"/>
  <c r="M8" i="35" s="1"/>
  <c r="M21" i="35" s="1"/>
  <c r="L18" i="35"/>
  <c r="M18" i="35"/>
  <c r="K9" i="35"/>
  <c r="K24" i="35"/>
  <c r="K31" i="35" s="1"/>
  <c r="K7" i="35"/>
  <c r="K8" i="35" s="1"/>
  <c r="I9" i="35"/>
  <c r="I24" i="35"/>
  <c r="I31" i="35" s="1"/>
  <c r="I7" i="35"/>
  <c r="I8" i="35" s="1"/>
  <c r="G9" i="35"/>
  <c r="G24" i="35" s="1"/>
  <c r="E9" i="35"/>
  <c r="E24" i="35" s="1"/>
  <c r="E31" i="35" s="1"/>
  <c r="G26" i="35"/>
  <c r="G31" i="35"/>
  <c r="G7" i="35"/>
  <c r="G8" i="35" s="1"/>
  <c r="G21" i="35" s="1"/>
  <c r="F18" i="35"/>
  <c r="G18" i="35"/>
  <c r="C9" i="35"/>
  <c r="C24" i="35" s="1"/>
  <c r="C31" i="35" s="1"/>
  <c r="C7" i="35"/>
  <c r="C8" i="35" s="1"/>
  <c r="E7" i="35"/>
  <c r="E8" i="35" s="1"/>
  <c r="E21" i="35" s="1"/>
  <c r="D18" i="35"/>
  <c r="E18" i="35"/>
  <c r="C22" i="17" l="1"/>
  <c r="C23" i="17" s="1"/>
  <c r="B22" i="17"/>
  <c r="E28" i="17"/>
  <c r="E22" i="17"/>
  <c r="E36" i="17" s="1"/>
  <c r="O22" i="17"/>
  <c r="N22" i="17"/>
  <c r="O28" i="17"/>
  <c r="K21" i="4"/>
  <c r="U43" i="14"/>
  <c r="Q21" i="24"/>
  <c r="AG28" i="20"/>
  <c r="BU28" i="24"/>
  <c r="BQ21" i="27"/>
  <c r="I23" i="34"/>
  <c r="I28" i="34"/>
  <c r="M21" i="16"/>
  <c r="O28" i="16"/>
  <c r="E22" i="14"/>
  <c r="I36" i="14" s="1"/>
  <c r="W28" i="17"/>
  <c r="Y28" i="20"/>
  <c r="U29" i="20" s="1"/>
  <c r="G23" i="28"/>
  <c r="BU23" i="27"/>
  <c r="K21" i="26"/>
  <c r="Q21" i="22"/>
  <c r="AG21" i="24"/>
  <c r="AS21" i="24"/>
  <c r="I21" i="20"/>
  <c r="U21" i="24"/>
  <c r="BE21" i="24"/>
  <c r="O21" i="24"/>
  <c r="BI21" i="27"/>
  <c r="C21" i="26"/>
  <c r="BW21" i="27"/>
  <c r="G31" i="23"/>
  <c r="G28" i="23"/>
  <c r="AC9" i="17"/>
  <c r="AC7" i="17"/>
  <c r="AC8" i="17" s="1"/>
  <c r="K24" i="16"/>
  <c r="E42" i="17"/>
  <c r="E44" i="17" s="1"/>
  <c r="E31" i="17"/>
  <c r="C32" i="17" s="1"/>
  <c r="E26" i="17"/>
  <c r="C25" i="17"/>
  <c r="C26" i="17" s="1"/>
  <c r="E33" i="17"/>
  <c r="K28" i="23"/>
  <c r="K31" i="23"/>
  <c r="I21" i="4"/>
  <c r="U24" i="17"/>
  <c r="AS24" i="24"/>
  <c r="I28" i="14"/>
  <c r="G29" i="14" s="1"/>
  <c r="I30" i="14" s="1"/>
  <c r="F22" i="14"/>
  <c r="G22" i="14"/>
  <c r="O28" i="20"/>
  <c r="C21" i="14"/>
  <c r="E36" i="14"/>
  <c r="AI21" i="20"/>
  <c r="N25" i="17"/>
  <c r="O25" i="17"/>
  <c r="S42" i="17" s="1"/>
  <c r="S43" i="17" s="1"/>
  <c r="S21" i="26"/>
  <c r="AG28" i="27"/>
  <c r="AG23" i="27"/>
  <c r="BU31" i="24"/>
  <c r="Q42" i="19"/>
  <c r="Q43" i="19" s="1"/>
  <c r="Q24" i="19"/>
  <c r="C24" i="21"/>
  <c r="AE21" i="27"/>
  <c r="Y21" i="26"/>
  <c r="Y21" i="17"/>
  <c r="B45" i="18"/>
  <c r="B44" i="18"/>
  <c r="C37" i="18"/>
  <c r="B47" i="18"/>
  <c r="B48" i="18" s="1"/>
  <c r="B49" i="18" s="1"/>
  <c r="C50" i="18" s="1"/>
  <c r="C47" i="18"/>
  <c r="C48" i="18" s="1"/>
  <c r="C49" i="18" s="1"/>
  <c r="O28" i="28"/>
  <c r="O23" i="28"/>
  <c r="C43" i="33"/>
  <c r="C23" i="33"/>
  <c r="C28" i="33"/>
  <c r="O23" i="32"/>
  <c r="O28" i="32"/>
  <c r="M31" i="35"/>
  <c r="U31" i="35"/>
  <c r="S32" i="35" s="1"/>
  <c r="S42" i="35" s="1"/>
  <c r="S43" i="35" s="1"/>
  <c r="AC31" i="35"/>
  <c r="AA32" i="35" s="1"/>
  <c r="AK31" i="35"/>
  <c r="E26" i="36"/>
  <c r="I31" i="36"/>
  <c r="C32" i="36" s="1"/>
  <c r="B55" i="38"/>
  <c r="G21" i="34"/>
  <c r="O21" i="23"/>
  <c r="E21" i="12"/>
  <c r="G21" i="15"/>
  <c r="C21" i="16"/>
  <c r="G21" i="4"/>
  <c r="E21" i="8"/>
  <c r="M31" i="30"/>
  <c r="K32" i="30" s="1"/>
  <c r="M28" i="30"/>
  <c r="M24" i="20"/>
  <c r="I28" i="16"/>
  <c r="C24" i="14"/>
  <c r="E42" i="14"/>
  <c r="U21" i="17"/>
  <c r="AM25" i="20"/>
  <c r="AM42" i="20"/>
  <c r="AM43" i="20" s="1"/>
  <c r="AO33" i="20"/>
  <c r="AO26" i="20"/>
  <c r="AO31" i="20"/>
  <c r="AM32" i="20" s="1"/>
  <c r="G24" i="19"/>
  <c r="G42" i="19"/>
  <c r="M28" i="19"/>
  <c r="Q24" i="24"/>
  <c r="C24" i="8"/>
  <c r="K21" i="15"/>
  <c r="O31" i="20"/>
  <c r="O26" i="20"/>
  <c r="AE21" i="20"/>
  <c r="Q28" i="26"/>
  <c r="Q31" i="26"/>
  <c r="O32" i="26" s="1"/>
  <c r="Q24" i="15"/>
  <c r="B25" i="17"/>
  <c r="AQ21" i="20"/>
  <c r="U24" i="24"/>
  <c r="BE24" i="24"/>
  <c r="BE42" i="24"/>
  <c r="U25" i="26"/>
  <c r="W31" i="26"/>
  <c r="U32" i="26" s="1"/>
  <c r="E23" i="27"/>
  <c r="E28" i="27"/>
  <c r="Y26" i="27"/>
  <c r="Y31" i="27"/>
  <c r="Y32" i="27" s="1"/>
  <c r="AG33" i="27" s="1"/>
  <c r="AQ24" i="27"/>
  <c r="C36" i="9"/>
  <c r="E30" i="9"/>
  <c r="E36" i="9"/>
  <c r="G30" i="9"/>
  <c r="G36" i="9"/>
  <c r="C30" i="9"/>
  <c r="E31" i="14"/>
  <c r="E28" i="14"/>
  <c r="W31" i="24"/>
  <c r="U32" i="24" s="1"/>
  <c r="Y42" i="24" s="1"/>
  <c r="Y43" i="24" s="1"/>
  <c r="W28" i="24"/>
  <c r="M31" i="26"/>
  <c r="M28" i="26"/>
  <c r="BE21" i="27"/>
  <c r="Q21" i="19"/>
  <c r="G23" i="21"/>
  <c r="BS24" i="24"/>
  <c r="CC28" i="24"/>
  <c r="CC31" i="24"/>
  <c r="G24" i="26"/>
  <c r="BU26" i="27"/>
  <c r="BG23" i="27"/>
  <c r="BG28" i="27"/>
  <c r="W21" i="27"/>
  <c r="AE24" i="27"/>
  <c r="K24" i="24"/>
  <c r="AE24" i="24"/>
  <c r="M24" i="17"/>
  <c r="O42" i="17"/>
  <c r="O43" i="17" s="1"/>
  <c r="I31" i="26"/>
  <c r="I28" i="26"/>
  <c r="C39" i="25"/>
  <c r="C40" i="25"/>
  <c r="BW24" i="27"/>
  <c r="BC28" i="27"/>
  <c r="BC31" i="27"/>
  <c r="BM23" i="27"/>
  <c r="C43" i="25"/>
  <c r="C47" i="25"/>
  <c r="C48" i="25" s="1"/>
  <c r="C49" i="25" s="1"/>
  <c r="B47" i="25"/>
  <c r="B48" i="25" s="1"/>
  <c r="B49" i="25" s="1"/>
  <c r="C29" i="21"/>
  <c r="G30" i="21" s="1"/>
  <c r="D47" i="18"/>
  <c r="D48" i="18" s="1"/>
  <c r="D49" i="18" s="1"/>
  <c r="E50" i="18" s="1"/>
  <c r="E51" i="18" s="1"/>
  <c r="E47" i="18"/>
  <c r="E48" i="18" s="1"/>
  <c r="E49" i="18" s="1"/>
  <c r="E37" i="18"/>
  <c r="E38" i="18" s="1"/>
  <c r="O31" i="34"/>
  <c r="O32" i="34" s="1"/>
  <c r="O42" i="34" s="1"/>
  <c r="O43" i="34" s="1"/>
  <c r="O26" i="34"/>
  <c r="C32" i="31"/>
  <c r="B44" i="29"/>
  <c r="B45" i="29"/>
  <c r="U23" i="30"/>
  <c r="U28" i="30"/>
  <c r="U29" i="30" s="1"/>
  <c r="E23" i="31"/>
  <c r="E28" i="31"/>
  <c r="O23" i="33"/>
  <c r="O28" i="33"/>
  <c r="C23" i="29"/>
  <c r="C28" i="29"/>
  <c r="C29" i="29" s="1"/>
  <c r="G28" i="30"/>
  <c r="G29" i="30" s="1"/>
  <c r="G23" i="30"/>
  <c r="E26" i="35"/>
  <c r="C24" i="12"/>
  <c r="I24" i="4"/>
  <c r="Q33" i="22"/>
  <c r="Q31" i="22"/>
  <c r="O32" i="22" s="1"/>
  <c r="N25" i="22"/>
  <c r="O25" i="22"/>
  <c r="C21" i="8"/>
  <c r="Y21" i="14"/>
  <c r="E31" i="26"/>
  <c r="E28" i="26"/>
  <c r="W28" i="19"/>
  <c r="W31" i="19"/>
  <c r="U32" i="19" s="1"/>
  <c r="O21" i="22"/>
  <c r="B22" i="24"/>
  <c r="E28" i="24"/>
  <c r="Q23" i="27"/>
  <c r="Q28" i="27"/>
  <c r="AK23" i="27"/>
  <c r="AK28" i="27"/>
  <c r="AA28" i="26"/>
  <c r="AA31" i="26"/>
  <c r="O22" i="14"/>
  <c r="N22" i="14"/>
  <c r="L22" i="14"/>
  <c r="O28" i="14"/>
  <c r="M29" i="14" s="1"/>
  <c r="O30" i="14" s="1"/>
  <c r="BK28" i="27"/>
  <c r="BK23" i="27"/>
  <c r="W24" i="27"/>
  <c r="W42" i="27"/>
  <c r="W43" i="27" s="1"/>
  <c r="M22" i="14"/>
  <c r="O23" i="14" s="1"/>
  <c r="BI24" i="27"/>
  <c r="BO28" i="24"/>
  <c r="I23" i="21"/>
  <c r="M23" i="21"/>
  <c r="O23" i="21"/>
  <c r="K23" i="21"/>
  <c r="K21" i="27"/>
  <c r="M42" i="28"/>
  <c r="M43" i="28" s="1"/>
  <c r="M24" i="28"/>
  <c r="E31" i="28"/>
  <c r="E33" i="28"/>
  <c r="E26" i="28"/>
  <c r="C51" i="38"/>
  <c r="U24" i="23"/>
  <c r="M9" i="32"/>
  <c r="M7" i="32"/>
  <c r="M8" i="32" s="1"/>
  <c r="M28" i="23"/>
  <c r="U31" i="33"/>
  <c r="S32" i="33" s="1"/>
  <c r="U28" i="33"/>
  <c r="G31" i="28"/>
  <c r="G28" i="28"/>
  <c r="C24" i="23"/>
  <c r="E24" i="12"/>
  <c r="O28" i="15"/>
  <c r="G24" i="4"/>
  <c r="Q21" i="16"/>
  <c r="O31" i="16"/>
  <c r="M25" i="14"/>
  <c r="N25" i="14"/>
  <c r="O26" i="14"/>
  <c r="O31" i="14"/>
  <c r="M32" i="14" s="1"/>
  <c r="L25" i="14"/>
  <c r="O25" i="14"/>
  <c r="O33" i="14"/>
  <c r="W31" i="17"/>
  <c r="AG31" i="20"/>
  <c r="AA32" i="20" s="1"/>
  <c r="Z25" i="20"/>
  <c r="AA25" i="20"/>
  <c r="AG26" i="20"/>
  <c r="AE25" i="20"/>
  <c r="Y31" i="33"/>
  <c r="Y28" i="33"/>
  <c r="K24" i="4"/>
  <c r="M24" i="15"/>
  <c r="M24" i="16"/>
  <c r="W28" i="14"/>
  <c r="W30" i="14"/>
  <c r="G21" i="19"/>
  <c r="AA28" i="19"/>
  <c r="Y29" i="19" s="1"/>
  <c r="AO24" i="24"/>
  <c r="BI21" i="24"/>
  <c r="C21" i="15"/>
  <c r="U21" i="14"/>
  <c r="Q21" i="17"/>
  <c r="S36" i="17"/>
  <c r="Y26" i="20"/>
  <c r="T25" i="20"/>
  <c r="Y31" i="20"/>
  <c r="U32" i="20" s="1"/>
  <c r="AQ24" i="20"/>
  <c r="AC24" i="19"/>
  <c r="AC42" i="19"/>
  <c r="AC43" i="19" s="1"/>
  <c r="W31" i="23"/>
  <c r="Q21" i="15"/>
  <c r="AI24" i="20"/>
  <c r="AI42" i="20"/>
  <c r="S28" i="19"/>
  <c r="AC24" i="24"/>
  <c r="G24" i="17"/>
  <c r="I42" i="17"/>
  <c r="C25" i="22"/>
  <c r="B25" i="22"/>
  <c r="E26" i="22"/>
  <c r="E31" i="22"/>
  <c r="AQ26" i="24"/>
  <c r="BM24" i="24"/>
  <c r="W28" i="26"/>
  <c r="M28" i="27"/>
  <c r="M23" i="27"/>
  <c r="Y23" i="27"/>
  <c r="Y28" i="27"/>
  <c r="AU21" i="27"/>
  <c r="U43" i="26"/>
  <c r="G21" i="16"/>
  <c r="AL25" i="20"/>
  <c r="BQ24" i="27"/>
  <c r="BU28" i="27"/>
  <c r="BU31" i="27"/>
  <c r="C24" i="19"/>
  <c r="G31" i="21"/>
  <c r="G28" i="21"/>
  <c r="E26" i="24"/>
  <c r="E31" i="24"/>
  <c r="C32" i="24" s="1"/>
  <c r="C25" i="24"/>
  <c r="BS21" i="24"/>
  <c r="O21" i="27"/>
  <c r="K24" i="26"/>
  <c r="AA24" i="27"/>
  <c r="X25" i="27" s="1"/>
  <c r="BZ44" i="27"/>
  <c r="BZ45" i="27"/>
  <c r="K21" i="24"/>
  <c r="C22" i="24" s="1"/>
  <c r="AE21" i="24"/>
  <c r="CC26" i="24"/>
  <c r="BS7" i="27"/>
  <c r="BS8" i="27" s="1"/>
  <c r="BS9" i="27"/>
  <c r="G32" i="22"/>
  <c r="M21" i="17"/>
  <c r="O36" i="17"/>
  <c r="AQ31" i="24"/>
  <c r="AQ28" i="24"/>
  <c r="BG28" i="24"/>
  <c r="BG31" i="24"/>
  <c r="C24" i="27"/>
  <c r="S24" i="27"/>
  <c r="O31" i="17"/>
  <c r="I32" i="23"/>
  <c r="B44" i="9"/>
  <c r="B45" i="9"/>
  <c r="BG31" i="27"/>
  <c r="BD25" i="27"/>
  <c r="BE25" i="27"/>
  <c r="BG26" i="27"/>
  <c r="BC23" i="27"/>
  <c r="BO23" i="27"/>
  <c r="C23" i="21"/>
  <c r="O26" i="28"/>
  <c r="O31" i="28"/>
  <c r="K33" i="33"/>
  <c r="J33" i="33" s="1"/>
  <c r="K31" i="33"/>
  <c r="G32" i="33" s="1"/>
  <c r="K26" i="33"/>
  <c r="B33" i="33"/>
  <c r="K28" i="34"/>
  <c r="K29" i="34" s="1"/>
  <c r="K23" i="34"/>
  <c r="O28" i="30"/>
  <c r="O29" i="30" s="1"/>
  <c r="O23" i="30"/>
  <c r="K29" i="30"/>
  <c r="E28" i="32"/>
  <c r="E23" i="32"/>
  <c r="N45" i="33"/>
  <c r="N44" i="33"/>
  <c r="C23" i="34"/>
  <c r="C28" i="34"/>
  <c r="S23" i="33"/>
  <c r="S28" i="33"/>
  <c r="E31" i="23"/>
  <c r="O24" i="23"/>
  <c r="E21" i="4"/>
  <c r="M21" i="20"/>
  <c r="I31" i="16"/>
  <c r="C32" i="16" s="1"/>
  <c r="B25" i="16"/>
  <c r="C25" i="16"/>
  <c r="I26" i="16" s="1"/>
  <c r="AO28" i="20"/>
  <c r="K24" i="15"/>
  <c r="AA42" i="19"/>
  <c r="AA43" i="19" s="1"/>
  <c r="AA24" i="19"/>
  <c r="AA31" i="19" s="1"/>
  <c r="Y32" i="19" s="1"/>
  <c r="AG24" i="24"/>
  <c r="BA24" i="27"/>
  <c r="BM24" i="27"/>
  <c r="K24" i="19"/>
  <c r="K42" i="19"/>
  <c r="K43" i="19" s="1"/>
  <c r="AK31" i="24"/>
  <c r="AK28" i="24"/>
  <c r="AM24" i="27"/>
  <c r="S31" i="17"/>
  <c r="S28" i="17"/>
  <c r="CA21" i="24"/>
  <c r="AI21" i="24"/>
  <c r="AO23" i="27"/>
  <c r="AO28" i="27"/>
  <c r="W28" i="23"/>
  <c r="U29" i="23" s="1"/>
  <c r="C21" i="23"/>
  <c r="C21" i="28"/>
  <c r="C7" i="4"/>
  <c r="C8" i="4" s="1"/>
  <c r="C9" i="4"/>
  <c r="K21" i="16"/>
  <c r="K21" i="12"/>
  <c r="U21" i="4"/>
  <c r="I31" i="15"/>
  <c r="I28" i="15"/>
  <c r="E28" i="21"/>
  <c r="E23" i="21"/>
  <c r="C21" i="12"/>
  <c r="E28" i="16"/>
  <c r="I26" i="34"/>
  <c r="I31" i="34"/>
  <c r="M21" i="15"/>
  <c r="U25" i="14"/>
  <c r="W26" i="14"/>
  <c r="W33" i="14"/>
  <c r="T25" i="14"/>
  <c r="G31" i="20"/>
  <c r="C32" i="20" s="1"/>
  <c r="G28" i="20"/>
  <c r="AG24" i="19"/>
  <c r="AG42" i="19"/>
  <c r="AG43" i="19" s="1"/>
  <c r="M24" i="24"/>
  <c r="M21" i="28"/>
  <c r="C24" i="15"/>
  <c r="I31" i="14"/>
  <c r="G32" i="14" s="1"/>
  <c r="I42" i="14"/>
  <c r="G25" i="14"/>
  <c r="Y24" i="14"/>
  <c r="G21" i="17"/>
  <c r="I36" i="17"/>
  <c r="P25" i="20"/>
  <c r="Q25" i="20"/>
  <c r="S33" i="20"/>
  <c r="S26" i="20"/>
  <c r="S31" i="20"/>
  <c r="Q32" i="20" s="1"/>
  <c r="S28" i="20"/>
  <c r="AC21" i="19"/>
  <c r="I28" i="22"/>
  <c r="I24" i="20"/>
  <c r="K24" i="21"/>
  <c r="BY28" i="24"/>
  <c r="C22" i="22"/>
  <c r="I23" i="22" s="1"/>
  <c r="E28" i="22"/>
  <c r="B22" i="22"/>
  <c r="E23" i="22"/>
  <c r="BM21" i="24"/>
  <c r="K24" i="27"/>
  <c r="Q33" i="27"/>
  <c r="Q31" i="27"/>
  <c r="Q26" i="27"/>
  <c r="AG25" i="27"/>
  <c r="AF25" i="27"/>
  <c r="AG31" i="27"/>
  <c r="AG26" i="27"/>
  <c r="CA21" i="27"/>
  <c r="AS23" i="27"/>
  <c r="G24" i="16"/>
  <c r="K28" i="20"/>
  <c r="K21" i="19"/>
  <c r="BA28" i="24"/>
  <c r="AY28" i="27"/>
  <c r="AY31" i="27"/>
  <c r="C21" i="19"/>
  <c r="BO26" i="24"/>
  <c r="CA24" i="24"/>
  <c r="G21" i="26"/>
  <c r="BK31" i="27"/>
  <c r="BK26" i="27"/>
  <c r="AE31" i="19"/>
  <c r="C21" i="27"/>
  <c r="AA21" i="27"/>
  <c r="AR25" i="27"/>
  <c r="AS26" i="27"/>
  <c r="AS25" i="27"/>
  <c r="C32" i="22"/>
  <c r="E33" i="22" s="1"/>
  <c r="O24" i="24"/>
  <c r="AI24" i="24"/>
  <c r="Y42" i="26"/>
  <c r="Y43" i="26" s="1"/>
  <c r="Y24" i="26"/>
  <c r="Y24" i="17"/>
  <c r="AO26" i="27"/>
  <c r="AO25" i="27"/>
  <c r="AN25" i="27"/>
  <c r="AO31" i="27"/>
  <c r="E28" i="23"/>
  <c r="BO31" i="24"/>
  <c r="C24" i="26"/>
  <c r="BO28" i="27"/>
  <c r="BO31" i="27"/>
  <c r="AX62" i="24"/>
  <c r="AY43" i="24"/>
  <c r="AX61" i="24"/>
  <c r="Q23" i="21"/>
  <c r="I31" i="19"/>
  <c r="B22" i="21"/>
  <c r="P62" i="28"/>
  <c r="P61" i="28"/>
  <c r="Q43" i="28"/>
  <c r="C32" i="28"/>
  <c r="AI28" i="19"/>
  <c r="I28" i="28"/>
  <c r="I23" i="28"/>
  <c r="S23" i="28"/>
  <c r="S28" i="28"/>
  <c r="S23" i="30"/>
  <c r="S28" i="30"/>
  <c r="S29" i="30" s="1"/>
  <c r="W32" i="33"/>
  <c r="C31" i="34"/>
  <c r="C32" i="34" s="1"/>
  <c r="C33" i="34" s="1"/>
  <c r="C26" i="34"/>
  <c r="D60" i="38"/>
  <c r="D59" i="38"/>
  <c r="C40" i="38"/>
  <c r="C39" i="38"/>
  <c r="G40" i="38"/>
  <c r="G39" i="38"/>
  <c r="K42" i="37"/>
  <c r="O33" i="37"/>
  <c r="I33" i="37"/>
  <c r="G33" i="37"/>
  <c r="M42" i="37"/>
  <c r="M33" i="37"/>
  <c r="K33" i="37"/>
  <c r="G42" i="37"/>
  <c r="L33" i="37"/>
  <c r="J62" i="37"/>
  <c r="J61" i="37"/>
  <c r="K43" i="37"/>
  <c r="K29" i="37"/>
  <c r="G23" i="37"/>
  <c r="G28" i="37"/>
  <c r="G29" i="37" s="1"/>
  <c r="E23" i="37"/>
  <c r="E28" i="37"/>
  <c r="C21" i="37"/>
  <c r="C26" i="37"/>
  <c r="I23" i="36"/>
  <c r="I28" i="36"/>
  <c r="G21" i="36"/>
  <c r="G26" i="36"/>
  <c r="E23" i="36"/>
  <c r="E28" i="36"/>
  <c r="C21" i="36"/>
  <c r="C26" i="36"/>
  <c r="K32" i="35"/>
  <c r="K42" i="35" s="1"/>
  <c r="AO23" i="35"/>
  <c r="AO28" i="35"/>
  <c r="AM21" i="35"/>
  <c r="AI32" i="35"/>
  <c r="AM26" i="35"/>
  <c r="AK23" i="35"/>
  <c r="AK28" i="35"/>
  <c r="AI21" i="35"/>
  <c r="AI26" i="35"/>
  <c r="AG23" i="35"/>
  <c r="AG28" i="35"/>
  <c r="AE21" i="35"/>
  <c r="AE26" i="35"/>
  <c r="AC23" i="35"/>
  <c r="AC28" i="35"/>
  <c r="AA21" i="35"/>
  <c r="AA26" i="35"/>
  <c r="Y23" i="35"/>
  <c r="Y28" i="35"/>
  <c r="W21" i="35"/>
  <c r="W26" i="35"/>
  <c r="W42" i="35"/>
  <c r="W43" i="35" s="1"/>
  <c r="U23" i="35"/>
  <c r="U28" i="35"/>
  <c r="Q23" i="35"/>
  <c r="Q28" i="35"/>
  <c r="S21" i="35"/>
  <c r="S26" i="35"/>
  <c r="O21" i="35"/>
  <c r="O26" i="35"/>
  <c r="O42" i="35"/>
  <c r="O43" i="35" s="1"/>
  <c r="M23" i="35"/>
  <c r="M28" i="35"/>
  <c r="C32" i="35"/>
  <c r="C42" i="35" s="1"/>
  <c r="C43" i="35" s="1"/>
  <c r="K21" i="35"/>
  <c r="K33" i="35"/>
  <c r="K26" i="35"/>
  <c r="I21" i="35"/>
  <c r="I33" i="35"/>
  <c r="I26" i="35"/>
  <c r="G33" i="35"/>
  <c r="G23" i="35"/>
  <c r="G28" i="35"/>
  <c r="E23" i="35"/>
  <c r="E28" i="35"/>
  <c r="C21" i="35"/>
  <c r="C33" i="35"/>
  <c r="C26" i="35"/>
  <c r="O42" i="26" l="1"/>
  <c r="O43" i="26" s="1"/>
  <c r="S42" i="26"/>
  <c r="S43" i="26" s="1"/>
  <c r="S33" i="33"/>
  <c r="O33" i="33"/>
  <c r="N33" i="33" s="1"/>
  <c r="Y33" i="33"/>
  <c r="W33" i="33"/>
  <c r="K42" i="33"/>
  <c r="I33" i="33"/>
  <c r="G33" i="33"/>
  <c r="G42" i="33"/>
  <c r="Q33" i="33"/>
  <c r="U33" i="33"/>
  <c r="AY23" i="24"/>
  <c r="S23" i="24"/>
  <c r="I23" i="24"/>
  <c r="C23" i="24"/>
  <c r="G23" i="24"/>
  <c r="AU23" i="24"/>
  <c r="Y23" i="24"/>
  <c r="BK23" i="24"/>
  <c r="AC23" i="24"/>
  <c r="AA23" i="24"/>
  <c r="M23" i="24"/>
  <c r="BQ23" i="24"/>
  <c r="AK23" i="24"/>
  <c r="BC23" i="24"/>
  <c r="AM23" i="24"/>
  <c r="AW23" i="24"/>
  <c r="AO23" i="24"/>
  <c r="BW23" i="24"/>
  <c r="BY23" i="24"/>
  <c r="BU23" i="24"/>
  <c r="E23" i="24"/>
  <c r="BA23" i="24"/>
  <c r="CC23" i="24"/>
  <c r="AQ23" i="24"/>
  <c r="BG23" i="24"/>
  <c r="BO23" i="24"/>
  <c r="W23" i="24"/>
  <c r="AA42" i="20"/>
  <c r="AA43" i="20" s="1"/>
  <c r="AE42" i="20"/>
  <c r="AE43" i="20" s="1"/>
  <c r="R44" i="35"/>
  <c r="R45" i="35"/>
  <c r="Y31" i="17"/>
  <c r="Y25" i="17"/>
  <c r="X25" i="17"/>
  <c r="Y26" i="17"/>
  <c r="G42" i="14"/>
  <c r="G43" i="14" s="1"/>
  <c r="K33" i="14"/>
  <c r="U33" i="14"/>
  <c r="G33" i="14"/>
  <c r="C24" i="4"/>
  <c r="C42" i="16"/>
  <c r="C43" i="16" s="1"/>
  <c r="Q42" i="16"/>
  <c r="Q43" i="16" s="1"/>
  <c r="S33" i="16"/>
  <c r="E33" i="16"/>
  <c r="Q33" i="16"/>
  <c r="C33" i="16"/>
  <c r="Y33" i="24"/>
  <c r="C42" i="24"/>
  <c r="BG33" i="24"/>
  <c r="AU33" i="24"/>
  <c r="AK33" i="24"/>
  <c r="AM33" i="24"/>
  <c r="AA33" i="24"/>
  <c r="C33" i="24"/>
  <c r="W33" i="24"/>
  <c r="BA33" i="24"/>
  <c r="S33" i="24"/>
  <c r="M31" i="16"/>
  <c r="M32" i="16" s="1"/>
  <c r="M26" i="16"/>
  <c r="M33" i="16"/>
  <c r="M21" i="32"/>
  <c r="S36" i="14"/>
  <c r="O36" i="14"/>
  <c r="I31" i="4"/>
  <c r="N44" i="34"/>
  <c r="N45" i="34"/>
  <c r="W28" i="27"/>
  <c r="W23" i="27"/>
  <c r="G37" i="9"/>
  <c r="G38" i="9" s="1"/>
  <c r="F47" i="9"/>
  <c r="F48" i="9" s="1"/>
  <c r="F49" i="9" s="1"/>
  <c r="G50" i="9" s="1"/>
  <c r="G51" i="9" s="1"/>
  <c r="G47" i="9"/>
  <c r="G48" i="9" s="1"/>
  <c r="G49" i="9" s="1"/>
  <c r="C37" i="9"/>
  <c r="C47" i="9"/>
  <c r="C48" i="9" s="1"/>
  <c r="C49" i="9" s="1"/>
  <c r="B47" i="9"/>
  <c r="B48" i="9" s="1"/>
  <c r="B49" i="9" s="1"/>
  <c r="C50" i="9" s="1"/>
  <c r="BE26" i="24"/>
  <c r="BE31" i="24"/>
  <c r="Q26" i="24"/>
  <c r="Q33" i="24"/>
  <c r="Q31" i="24"/>
  <c r="E28" i="8"/>
  <c r="E30" i="8"/>
  <c r="C38" i="18"/>
  <c r="B40" i="18"/>
  <c r="B39" i="18"/>
  <c r="AC24" i="17"/>
  <c r="BI23" i="27"/>
  <c r="BI22" i="27"/>
  <c r="BI28" i="27"/>
  <c r="I28" i="20"/>
  <c r="I29" i="20" s="1"/>
  <c r="I23" i="20"/>
  <c r="C22" i="20"/>
  <c r="B22" i="20"/>
  <c r="E33" i="35"/>
  <c r="X25" i="26"/>
  <c r="Y26" i="26"/>
  <c r="Y25" i="26"/>
  <c r="Y31" i="26"/>
  <c r="Y32" i="26" s="1"/>
  <c r="AS33" i="27"/>
  <c r="AA23" i="27"/>
  <c r="AA28" i="27"/>
  <c r="CA26" i="24"/>
  <c r="CA31" i="24"/>
  <c r="CA32" i="24" s="1"/>
  <c r="CA42" i="24" s="1"/>
  <c r="CA43" i="24" s="1"/>
  <c r="C28" i="19"/>
  <c r="C22" i="19"/>
  <c r="K23" i="19" s="1"/>
  <c r="B22" i="19"/>
  <c r="AY29" i="24"/>
  <c r="AW29" i="24"/>
  <c r="K26" i="27"/>
  <c r="K31" i="27"/>
  <c r="K33" i="27"/>
  <c r="BM23" i="24"/>
  <c r="BM28" i="24"/>
  <c r="G28" i="17"/>
  <c r="F22" i="17"/>
  <c r="G22" i="17"/>
  <c r="K23" i="17" s="1"/>
  <c r="G23" i="17"/>
  <c r="G30" i="17"/>
  <c r="I33" i="34"/>
  <c r="E30" i="21"/>
  <c r="C32" i="15"/>
  <c r="G32" i="15"/>
  <c r="K28" i="12"/>
  <c r="K23" i="12"/>
  <c r="C21" i="4"/>
  <c r="C28" i="23"/>
  <c r="C29" i="23" s="1"/>
  <c r="O30" i="23" s="1"/>
  <c r="C23" i="23"/>
  <c r="B22" i="23"/>
  <c r="C22" i="23"/>
  <c r="AI23" i="24"/>
  <c r="AI28" i="24"/>
  <c r="I33" i="16"/>
  <c r="S31" i="27"/>
  <c r="S26" i="27"/>
  <c r="O37" i="17"/>
  <c r="O38" i="17" s="1"/>
  <c r="N47" i="17"/>
  <c r="N48" i="17" s="1"/>
  <c r="N49" i="17" s="1"/>
  <c r="O50" i="17" s="1"/>
  <c r="O47" i="17"/>
  <c r="O48" i="17" s="1"/>
  <c r="O49" i="17" s="1"/>
  <c r="BS21" i="27"/>
  <c r="AE23" i="24"/>
  <c r="AE28" i="24"/>
  <c r="BS28" i="24"/>
  <c r="BS23" i="24"/>
  <c r="BP25" i="27"/>
  <c r="BQ26" i="27"/>
  <c r="BQ31" i="27"/>
  <c r="T62" i="26"/>
  <c r="O26" i="22"/>
  <c r="G26" i="22"/>
  <c r="M26" i="22"/>
  <c r="K26" i="22"/>
  <c r="C26" i="22"/>
  <c r="I26" i="22"/>
  <c r="AA26" i="22"/>
  <c r="U26" i="22"/>
  <c r="W26" i="22"/>
  <c r="S26" i="22"/>
  <c r="Y26" i="22"/>
  <c r="AC42" i="24"/>
  <c r="AC43" i="24" s="1"/>
  <c r="Q28" i="15"/>
  <c r="W33" i="20"/>
  <c r="U33" i="20"/>
  <c r="BI23" i="24"/>
  <c r="BI28" i="24"/>
  <c r="BI29" i="24" s="1"/>
  <c r="W23" i="14"/>
  <c r="O42" i="14"/>
  <c r="O43" i="14" s="1"/>
  <c r="S42" i="14"/>
  <c r="S43" i="14" s="1"/>
  <c r="O33" i="16"/>
  <c r="G31" i="4"/>
  <c r="M24" i="32"/>
  <c r="W26" i="27"/>
  <c r="W31" i="27"/>
  <c r="W33" i="27"/>
  <c r="Y28" i="14"/>
  <c r="Y29" i="14" s="1"/>
  <c r="Y23" i="14"/>
  <c r="X22" i="14"/>
  <c r="Y30" i="14"/>
  <c r="Y22" i="14"/>
  <c r="C33" i="31"/>
  <c r="E33" i="31"/>
  <c r="E42" i="31"/>
  <c r="E43" i="31" s="1"/>
  <c r="G33" i="31"/>
  <c r="C42" i="31"/>
  <c r="C43" i="31" s="1"/>
  <c r="C50" i="25"/>
  <c r="U42" i="24"/>
  <c r="U43" i="24" s="1"/>
  <c r="Q33" i="15"/>
  <c r="Q31" i="15"/>
  <c r="Q26" i="15"/>
  <c r="G25" i="19"/>
  <c r="G31" i="19"/>
  <c r="G32" i="19" s="1"/>
  <c r="F25" i="19"/>
  <c r="G33" i="19"/>
  <c r="C29" i="33"/>
  <c r="B45" i="33"/>
  <c r="B44" i="33"/>
  <c r="Y30" i="17"/>
  <c r="X22" i="17"/>
  <c r="Y23" i="17"/>
  <c r="Y22" i="17"/>
  <c r="Y28" i="17"/>
  <c r="AE23" i="27"/>
  <c r="AE28" i="27"/>
  <c r="S23" i="26"/>
  <c r="S28" i="26"/>
  <c r="AS26" i="24"/>
  <c r="AS31" i="24"/>
  <c r="I28" i="4"/>
  <c r="K42" i="16"/>
  <c r="K43" i="16" s="1"/>
  <c r="U23" i="24"/>
  <c r="U28" i="24"/>
  <c r="C32" i="30"/>
  <c r="Q28" i="22"/>
  <c r="Q23" i="22"/>
  <c r="K28" i="26"/>
  <c r="AI26" i="24"/>
  <c r="AI33" i="24"/>
  <c r="AI31" i="24"/>
  <c r="U26" i="14"/>
  <c r="G26" i="14"/>
  <c r="K26" i="14"/>
  <c r="M23" i="28"/>
  <c r="M28" i="28"/>
  <c r="M30" i="28"/>
  <c r="M28" i="15"/>
  <c r="M29" i="15" s="1"/>
  <c r="M22" i="15"/>
  <c r="L22" i="15"/>
  <c r="C28" i="12"/>
  <c r="C22" i="12"/>
  <c r="C23" i="12"/>
  <c r="B22" i="12"/>
  <c r="K31" i="15"/>
  <c r="K33" i="15"/>
  <c r="K26" i="15"/>
  <c r="E28" i="4"/>
  <c r="BS24" i="27"/>
  <c r="G28" i="16"/>
  <c r="G29" i="16" s="1"/>
  <c r="K31" i="4"/>
  <c r="C31" i="23"/>
  <c r="C25" i="23"/>
  <c r="B25" i="23"/>
  <c r="C26" i="23"/>
  <c r="O36" i="21"/>
  <c r="M30" i="21"/>
  <c r="Q30" i="21"/>
  <c r="O30" i="21"/>
  <c r="Q36" i="21"/>
  <c r="I36" i="21"/>
  <c r="C36" i="21"/>
  <c r="C30" i="21"/>
  <c r="K30" i="21"/>
  <c r="I30" i="21"/>
  <c r="M36" i="21"/>
  <c r="G31" i="26"/>
  <c r="G25" i="26"/>
  <c r="G26" i="26"/>
  <c r="F25" i="26"/>
  <c r="BS26" i="24"/>
  <c r="BS31" i="24"/>
  <c r="BQ32" i="24" s="1"/>
  <c r="BE23" i="27"/>
  <c r="BD22" i="27"/>
  <c r="BE22" i="27"/>
  <c r="BE28" i="27"/>
  <c r="U42" i="27"/>
  <c r="U43" i="27" s="1"/>
  <c r="AK33" i="27"/>
  <c r="AC33" i="27"/>
  <c r="AY33" i="27"/>
  <c r="K28" i="15"/>
  <c r="J22" i="15"/>
  <c r="K22" i="15"/>
  <c r="F61" i="19"/>
  <c r="G43" i="19"/>
  <c r="F62" i="19"/>
  <c r="U28" i="17"/>
  <c r="T22" i="17"/>
  <c r="U22" i="17"/>
  <c r="U30" i="17"/>
  <c r="U23" i="17"/>
  <c r="M26" i="20"/>
  <c r="M33" i="20"/>
  <c r="M25" i="20"/>
  <c r="M31" i="20"/>
  <c r="M32" i="20" s="1"/>
  <c r="M42" i="20" s="1"/>
  <c r="L25" i="20"/>
  <c r="C28" i="16"/>
  <c r="C22" i="16"/>
  <c r="B22" i="16"/>
  <c r="E28" i="12"/>
  <c r="E23" i="12"/>
  <c r="G28" i="34"/>
  <c r="G29" i="34" s="1"/>
  <c r="G23" i="34"/>
  <c r="G23" i="14"/>
  <c r="K23" i="14"/>
  <c r="BW22" i="27"/>
  <c r="BW23" i="27"/>
  <c r="BW28" i="27"/>
  <c r="BE23" i="24"/>
  <c r="BE28" i="24"/>
  <c r="K28" i="4"/>
  <c r="J33" i="37"/>
  <c r="C29" i="30"/>
  <c r="AO33" i="27"/>
  <c r="L25" i="24"/>
  <c r="O26" i="24"/>
  <c r="M25" i="24"/>
  <c r="O33" i="24"/>
  <c r="O31" i="24"/>
  <c r="K28" i="19"/>
  <c r="G42" i="16"/>
  <c r="G43" i="16" s="1"/>
  <c r="AA23" i="22"/>
  <c r="M23" i="22"/>
  <c r="W23" i="22"/>
  <c r="K23" i="22"/>
  <c r="C23" i="22"/>
  <c r="G23" i="22"/>
  <c r="U23" i="22"/>
  <c r="S23" i="22"/>
  <c r="Y23" i="22"/>
  <c r="Q42" i="20"/>
  <c r="Q43" i="20" s="1"/>
  <c r="U42" i="20"/>
  <c r="U43" i="20" s="1"/>
  <c r="I33" i="14"/>
  <c r="C31" i="15"/>
  <c r="C33" i="15"/>
  <c r="C26" i="15"/>
  <c r="M26" i="24"/>
  <c r="M33" i="24"/>
  <c r="M31" i="24"/>
  <c r="M32" i="24" s="1"/>
  <c r="C42" i="20"/>
  <c r="AA33" i="20"/>
  <c r="Q33" i="20"/>
  <c r="AE33" i="20"/>
  <c r="AK33" i="20"/>
  <c r="C33" i="20"/>
  <c r="AS33" i="20"/>
  <c r="AM33" i="20"/>
  <c r="E33" i="20"/>
  <c r="AC33" i="20"/>
  <c r="G33" i="20"/>
  <c r="AU33" i="20"/>
  <c r="BM26" i="27"/>
  <c r="BM25" i="27"/>
  <c r="BL25" i="27"/>
  <c r="BM31" i="27"/>
  <c r="AG31" i="24"/>
  <c r="AG26" i="24"/>
  <c r="AG33" i="24"/>
  <c r="M23" i="20"/>
  <c r="M28" i="20"/>
  <c r="M29" i="20" s="1"/>
  <c r="O31" i="23"/>
  <c r="O32" i="23" s="1"/>
  <c r="N25" i="23"/>
  <c r="O25" i="23"/>
  <c r="O26" i="23"/>
  <c r="M28" i="17"/>
  <c r="M29" i="17" s="1"/>
  <c r="M30" i="17" s="1"/>
  <c r="L22" i="17"/>
  <c r="M22" i="17"/>
  <c r="M23" i="17" s="1"/>
  <c r="K22" i="17"/>
  <c r="J22" i="17"/>
  <c r="CC33" i="24"/>
  <c r="AA42" i="27"/>
  <c r="AA43" i="27" s="1"/>
  <c r="BI26" i="24"/>
  <c r="AM26" i="24"/>
  <c r="G26" i="24"/>
  <c r="AA26" i="24"/>
  <c r="C26" i="24"/>
  <c r="BC26" i="24"/>
  <c r="AW26" i="24"/>
  <c r="BY26" i="24"/>
  <c r="AY26" i="24"/>
  <c r="Y26" i="24"/>
  <c r="AK26" i="24"/>
  <c r="BA26" i="24"/>
  <c r="I26" i="24"/>
  <c r="BG26" i="24"/>
  <c r="W26" i="24"/>
  <c r="AU26" i="24"/>
  <c r="BQ26" i="24"/>
  <c r="BW26" i="24"/>
  <c r="BK26" i="24"/>
  <c r="S26" i="24"/>
  <c r="T44" i="26"/>
  <c r="T45" i="26"/>
  <c r="BM31" i="24"/>
  <c r="BM26" i="24"/>
  <c r="AC26" i="24"/>
  <c r="AC31" i="24"/>
  <c r="AC33" i="24"/>
  <c r="AH62" i="20"/>
  <c r="AI43" i="20"/>
  <c r="AH61" i="20"/>
  <c r="AC31" i="19"/>
  <c r="AC32" i="19" s="1"/>
  <c r="AC25" i="19"/>
  <c r="AB25" i="19"/>
  <c r="Y33" i="20"/>
  <c r="R47" i="17"/>
  <c r="R48" i="17" s="1"/>
  <c r="R49" i="17" s="1"/>
  <c r="S50" i="17" s="1"/>
  <c r="S51" i="17" s="1"/>
  <c r="S47" i="17"/>
  <c r="S48" i="17" s="1"/>
  <c r="S49" i="17" s="1"/>
  <c r="S37" i="17"/>
  <c r="S38" i="17" s="1"/>
  <c r="AO33" i="24"/>
  <c r="AO26" i="24"/>
  <c r="AO31" i="24"/>
  <c r="AM32" i="24" s="1"/>
  <c r="M31" i="15"/>
  <c r="M32" i="15" s="1"/>
  <c r="M26" i="15"/>
  <c r="M33" i="15"/>
  <c r="AA26" i="14"/>
  <c r="S26" i="14"/>
  <c r="Q26" i="14"/>
  <c r="M26" i="14"/>
  <c r="E31" i="12"/>
  <c r="U25" i="23"/>
  <c r="U26" i="23"/>
  <c r="U31" i="23"/>
  <c r="U32" i="23" s="1"/>
  <c r="T25" i="23"/>
  <c r="BI31" i="27"/>
  <c r="BI26" i="27"/>
  <c r="BH25" i="27"/>
  <c r="BI25" i="27"/>
  <c r="C28" i="8"/>
  <c r="C29" i="8" s="1"/>
  <c r="C22" i="8"/>
  <c r="C23" i="8" s="1"/>
  <c r="B22" i="8"/>
  <c r="C30" i="8"/>
  <c r="Q26" i="22"/>
  <c r="B25" i="12"/>
  <c r="C25" i="12"/>
  <c r="E26" i="12" s="1"/>
  <c r="C31" i="12"/>
  <c r="E29" i="31"/>
  <c r="C29" i="31"/>
  <c r="AE26" i="24"/>
  <c r="AE33" i="24"/>
  <c r="AE31" i="24"/>
  <c r="AE32" i="24" s="1"/>
  <c r="AE26" i="27"/>
  <c r="AE33" i="27"/>
  <c r="AE31" i="27"/>
  <c r="AB25" i="27"/>
  <c r="AC25" i="27"/>
  <c r="D47" i="9"/>
  <c r="D48" i="9" s="1"/>
  <c r="D49" i="9" s="1"/>
  <c r="E50" i="9" s="1"/>
  <c r="E51" i="9" s="1"/>
  <c r="E47" i="9"/>
  <c r="E48" i="9" s="1"/>
  <c r="E49" i="9" s="1"/>
  <c r="E37" i="9"/>
  <c r="E38" i="9" s="1"/>
  <c r="AQ26" i="27"/>
  <c r="AQ31" i="27"/>
  <c r="AQ33" i="27"/>
  <c r="U26" i="24"/>
  <c r="U33" i="24"/>
  <c r="U31" i="24"/>
  <c r="AQ28" i="20"/>
  <c r="AQ29" i="20" s="1"/>
  <c r="AQ23" i="20"/>
  <c r="AQ22" i="20"/>
  <c r="AP22" i="20"/>
  <c r="O33" i="20"/>
  <c r="B25" i="8"/>
  <c r="C26" i="8"/>
  <c r="C33" i="8"/>
  <c r="C25" i="8"/>
  <c r="E26" i="8" s="1"/>
  <c r="C31" i="8"/>
  <c r="C32" i="8" s="1"/>
  <c r="E44" i="14"/>
  <c r="G28" i="4"/>
  <c r="G28" i="15"/>
  <c r="G29" i="15" s="1"/>
  <c r="O28" i="23"/>
  <c r="O29" i="23" s="1"/>
  <c r="O23" i="23"/>
  <c r="Q31" i="19"/>
  <c r="P25" i="19"/>
  <c r="Q25" i="19"/>
  <c r="Q33" i="19"/>
  <c r="O25" i="19"/>
  <c r="N25" i="19"/>
  <c r="BU26" i="24"/>
  <c r="C28" i="14"/>
  <c r="C29" i="14" s="1"/>
  <c r="B22" i="14"/>
  <c r="C23" i="14"/>
  <c r="C30" i="14"/>
  <c r="C22" i="14"/>
  <c r="K33" i="16"/>
  <c r="K31" i="16"/>
  <c r="K32" i="16" s="1"/>
  <c r="K26" i="16"/>
  <c r="B22" i="26"/>
  <c r="C22" i="26"/>
  <c r="C23" i="26"/>
  <c r="C28" i="26"/>
  <c r="O23" i="24"/>
  <c r="O28" i="24"/>
  <c r="AS23" i="24"/>
  <c r="AS28" i="24"/>
  <c r="AS29" i="24" s="1"/>
  <c r="M22" i="16"/>
  <c r="L22" i="16"/>
  <c r="M23" i="16"/>
  <c r="M28" i="16"/>
  <c r="M29" i="16" s="1"/>
  <c r="AC28" i="19"/>
  <c r="AF25" i="19"/>
  <c r="AG31" i="19"/>
  <c r="AG32" i="19" s="1"/>
  <c r="AG25" i="19"/>
  <c r="AG26" i="19"/>
  <c r="AG33" i="19"/>
  <c r="BA26" i="27"/>
  <c r="BA33" i="27"/>
  <c r="BA31" i="27"/>
  <c r="AX25" i="27"/>
  <c r="AY25" i="27"/>
  <c r="C26" i="16"/>
  <c r="S26" i="16"/>
  <c r="E26" i="16"/>
  <c r="Q26" i="16"/>
  <c r="BG32" i="24"/>
  <c r="K25" i="26"/>
  <c r="K26" i="26"/>
  <c r="K31" i="26"/>
  <c r="J25" i="26"/>
  <c r="C25" i="19"/>
  <c r="B25" i="19"/>
  <c r="C31" i="19"/>
  <c r="C32" i="19" s="1"/>
  <c r="C33" i="19"/>
  <c r="C26" i="19"/>
  <c r="G25" i="17"/>
  <c r="F25" i="17"/>
  <c r="G31" i="17"/>
  <c r="G32" i="17" s="1"/>
  <c r="G33" i="17" s="1"/>
  <c r="G26" i="17"/>
  <c r="AQ25" i="20"/>
  <c r="AQ26" i="20"/>
  <c r="AP25" i="20"/>
  <c r="AQ33" i="20"/>
  <c r="AQ31" i="20"/>
  <c r="AQ32" i="20" s="1"/>
  <c r="AQ42" i="20" s="1"/>
  <c r="U22" i="14"/>
  <c r="U28" i="14"/>
  <c r="U29" i="14" s="1"/>
  <c r="U23" i="14"/>
  <c r="T22" i="14"/>
  <c r="U30" i="14"/>
  <c r="S42" i="33"/>
  <c r="S43" i="33" s="1"/>
  <c r="W42" i="33"/>
  <c r="W43" i="33" s="1"/>
  <c r="M26" i="28"/>
  <c r="M31" i="28"/>
  <c r="M33" i="28"/>
  <c r="E30" i="29"/>
  <c r="G30" i="29"/>
  <c r="C36" i="29"/>
  <c r="J25" i="17"/>
  <c r="M31" i="17"/>
  <c r="M25" i="17"/>
  <c r="K25" i="17"/>
  <c r="M26" i="17"/>
  <c r="L25" i="17"/>
  <c r="Q23" i="19"/>
  <c r="Q28" i="19"/>
  <c r="F33" i="37"/>
  <c r="G42" i="34"/>
  <c r="G43" i="34" s="1"/>
  <c r="K42" i="34"/>
  <c r="Q33" i="34"/>
  <c r="G33" i="34"/>
  <c r="E33" i="34"/>
  <c r="M33" i="34"/>
  <c r="C42" i="34"/>
  <c r="K33" i="34"/>
  <c r="I42" i="28"/>
  <c r="C42" i="28"/>
  <c r="C43" i="28" s="1"/>
  <c r="I33" i="28"/>
  <c r="C33" i="28"/>
  <c r="S33" i="28"/>
  <c r="E42" i="28"/>
  <c r="E43" i="28" s="1"/>
  <c r="Q33" i="28"/>
  <c r="K33" i="28"/>
  <c r="C31" i="26"/>
  <c r="C32" i="26" s="1"/>
  <c r="K33" i="26" s="1"/>
  <c r="B25" i="26"/>
  <c r="C25" i="26"/>
  <c r="C26" i="26"/>
  <c r="C33" i="22"/>
  <c r="C42" i="22"/>
  <c r="C28" i="27"/>
  <c r="C23" i="27"/>
  <c r="G28" i="26"/>
  <c r="G23" i="26"/>
  <c r="G31" i="16"/>
  <c r="G32" i="16" s="1"/>
  <c r="G33" i="16"/>
  <c r="G26" i="16"/>
  <c r="CA28" i="27"/>
  <c r="CA29" i="27" s="1"/>
  <c r="CA23" i="27"/>
  <c r="CA22" i="27"/>
  <c r="K31" i="21"/>
  <c r="I32" i="21" s="1"/>
  <c r="I25" i="21"/>
  <c r="H25" i="21"/>
  <c r="I31" i="20"/>
  <c r="I32" i="20" s="1"/>
  <c r="I25" i="20"/>
  <c r="K26" i="20" s="1"/>
  <c r="I26" i="20"/>
  <c r="H25" i="20"/>
  <c r="X25" i="14"/>
  <c r="Y25" i="14"/>
  <c r="Y31" i="14"/>
  <c r="Y32" i="14" s="1"/>
  <c r="Y42" i="14" s="1"/>
  <c r="Y33" i="14"/>
  <c r="Y26" i="14"/>
  <c r="I26" i="14"/>
  <c r="U28" i="4"/>
  <c r="J22" i="16"/>
  <c r="K22" i="16"/>
  <c r="K23" i="16"/>
  <c r="K28" i="16"/>
  <c r="C30" i="28"/>
  <c r="C28" i="28"/>
  <c r="C29" i="28" s="1"/>
  <c r="C23" i="28"/>
  <c r="CA28" i="24"/>
  <c r="CA23" i="24"/>
  <c r="AK25" i="27"/>
  <c r="AJ25" i="27"/>
  <c r="AM26" i="27"/>
  <c r="AM31" i="27"/>
  <c r="AG32" i="27" s="1"/>
  <c r="AM33" i="27"/>
  <c r="K31" i="19"/>
  <c r="K32" i="19" s="1"/>
  <c r="J25" i="19"/>
  <c r="K26" i="19"/>
  <c r="K33" i="19"/>
  <c r="K25" i="19"/>
  <c r="Y42" i="19"/>
  <c r="Y25" i="19"/>
  <c r="AA33" i="19"/>
  <c r="AA26" i="19"/>
  <c r="X25" i="19"/>
  <c r="O33" i="28"/>
  <c r="C31" i="27"/>
  <c r="C32" i="27" s="1"/>
  <c r="S33" i="27" s="1"/>
  <c r="C26" i="27"/>
  <c r="C33" i="27"/>
  <c r="G33" i="22"/>
  <c r="I33" i="22"/>
  <c r="M33" i="22"/>
  <c r="K42" i="22"/>
  <c r="G42" i="22"/>
  <c r="G43" i="22" s="1"/>
  <c r="K33" i="22"/>
  <c r="K28" i="24"/>
  <c r="K29" i="24" s="1"/>
  <c r="K23" i="24"/>
  <c r="AA31" i="27"/>
  <c r="AA26" i="27"/>
  <c r="AA33" i="27"/>
  <c r="O28" i="27"/>
  <c r="O23" i="27"/>
  <c r="E33" i="24"/>
  <c r="T61" i="26"/>
  <c r="AU23" i="27"/>
  <c r="AU28" i="27"/>
  <c r="AQ33" i="24"/>
  <c r="AH25" i="20"/>
  <c r="AI26" i="20"/>
  <c r="AI33" i="20"/>
  <c r="AI25" i="20"/>
  <c r="AI31" i="20"/>
  <c r="AI32" i="20" s="1"/>
  <c r="Q28" i="17"/>
  <c r="Q30" i="17"/>
  <c r="Q23" i="17"/>
  <c r="C28" i="15"/>
  <c r="C29" i="15" s="1"/>
  <c r="M30" i="15" s="1"/>
  <c r="B22" i="15"/>
  <c r="C22" i="15"/>
  <c r="Q23" i="15" s="1"/>
  <c r="C30" i="15"/>
  <c r="G28" i="19"/>
  <c r="G29" i="19" s="1"/>
  <c r="G23" i="19"/>
  <c r="M42" i="16"/>
  <c r="M43" i="16" s="1"/>
  <c r="AG33" i="20"/>
  <c r="M33" i="14"/>
  <c r="Q42" i="14"/>
  <c r="Q43" i="14" s="1"/>
  <c r="AA33" i="14"/>
  <c r="Q33" i="14"/>
  <c r="S33" i="14"/>
  <c r="M42" i="14"/>
  <c r="M43" i="14" s="1"/>
  <c r="O26" i="16"/>
  <c r="Q28" i="16"/>
  <c r="Q23" i="16"/>
  <c r="K28" i="27"/>
  <c r="K23" i="27"/>
  <c r="S23" i="14"/>
  <c r="M23" i="14"/>
  <c r="AA23" i="14"/>
  <c r="Q23" i="14"/>
  <c r="Q36" i="14"/>
  <c r="M36" i="14"/>
  <c r="M30" i="14"/>
  <c r="AA30" i="14"/>
  <c r="S30" i="14"/>
  <c r="Q30" i="14"/>
  <c r="O28" i="22"/>
  <c r="C29" i="22" s="1"/>
  <c r="O23" i="22"/>
  <c r="W42" i="22"/>
  <c r="W43" i="22" s="1"/>
  <c r="O42" i="22"/>
  <c r="O43" i="22" s="1"/>
  <c r="S42" i="22"/>
  <c r="S43" i="22" s="1"/>
  <c r="Y42" i="22"/>
  <c r="Y43" i="22" s="1"/>
  <c r="W33" i="22"/>
  <c r="S33" i="22"/>
  <c r="O33" i="22"/>
  <c r="AA33" i="22"/>
  <c r="Y33" i="22"/>
  <c r="U33" i="22"/>
  <c r="C30" i="29"/>
  <c r="B30" i="29" s="1"/>
  <c r="O33" i="34"/>
  <c r="N33" i="34" s="1"/>
  <c r="B44" i="25"/>
  <c r="B45" i="25"/>
  <c r="BW26" i="27"/>
  <c r="BW31" i="27"/>
  <c r="BW33" i="27"/>
  <c r="BW25" i="27"/>
  <c r="K26" i="24"/>
  <c r="K33" i="24"/>
  <c r="K31" i="24"/>
  <c r="G32" i="24" s="1"/>
  <c r="BE33" i="24" s="1"/>
  <c r="G25" i="24"/>
  <c r="F25" i="24"/>
  <c r="Y33" i="27"/>
  <c r="Y25" i="27"/>
  <c r="BE43" i="24"/>
  <c r="AE28" i="20"/>
  <c r="AE23" i="20"/>
  <c r="B25" i="14"/>
  <c r="C31" i="14"/>
  <c r="C32" i="14" s="1"/>
  <c r="C33" i="14" s="1"/>
  <c r="C26" i="14"/>
  <c r="C25" i="14"/>
  <c r="E26" i="14" s="1"/>
  <c r="B55" i="18"/>
  <c r="B54" i="18"/>
  <c r="C51" i="18"/>
  <c r="B56" i="18"/>
  <c r="B53" i="18"/>
  <c r="Y23" i="26"/>
  <c r="Y28" i="26"/>
  <c r="C25" i="21"/>
  <c r="K26" i="21" s="1"/>
  <c r="B25" i="21"/>
  <c r="C31" i="21"/>
  <c r="AI28" i="20"/>
  <c r="AI29" i="20" s="1"/>
  <c r="AI23" i="20"/>
  <c r="K30" i="14"/>
  <c r="G30" i="14"/>
  <c r="U31" i="17"/>
  <c r="U32" i="17" s="1"/>
  <c r="U42" i="17" s="1"/>
  <c r="U26" i="17"/>
  <c r="U25" i="17"/>
  <c r="U33" i="17"/>
  <c r="T25" i="17"/>
  <c r="I29" i="23"/>
  <c r="C42" i="17"/>
  <c r="C33" i="17"/>
  <c r="AC21" i="17"/>
  <c r="AG23" i="24"/>
  <c r="AG28" i="24"/>
  <c r="AG29" i="24" s="1"/>
  <c r="BQ22" i="27"/>
  <c r="BQ23" i="27"/>
  <c r="BP22" i="27"/>
  <c r="BQ28" i="27"/>
  <c r="Q28" i="24"/>
  <c r="C29" i="24" s="1"/>
  <c r="P22" i="24"/>
  <c r="Q22" i="24"/>
  <c r="Q23" i="24"/>
  <c r="F62" i="37"/>
  <c r="F61" i="37"/>
  <c r="G43" i="37"/>
  <c r="L62" i="37"/>
  <c r="L61" i="37"/>
  <c r="M43" i="37"/>
  <c r="J45" i="37"/>
  <c r="J44" i="37"/>
  <c r="C42" i="37"/>
  <c r="E33" i="37"/>
  <c r="C23" i="37"/>
  <c r="C28" i="37"/>
  <c r="C29" i="37" s="1"/>
  <c r="C33" i="37"/>
  <c r="B33" i="37" s="1"/>
  <c r="G42" i="36"/>
  <c r="I33" i="36"/>
  <c r="G23" i="36"/>
  <c r="G28" i="36"/>
  <c r="G33" i="36"/>
  <c r="F33" i="36" s="1"/>
  <c r="C42" i="36"/>
  <c r="E33" i="36"/>
  <c r="C23" i="36"/>
  <c r="C28" i="36"/>
  <c r="C33" i="36"/>
  <c r="AO33" i="35"/>
  <c r="AK33" i="35"/>
  <c r="AG33" i="35"/>
  <c r="AC33" i="35"/>
  <c r="Y33" i="35"/>
  <c r="U33" i="35"/>
  <c r="Q33" i="35"/>
  <c r="M33" i="35"/>
  <c r="J33" i="35"/>
  <c r="H33" i="35" s="1"/>
  <c r="O33" i="35"/>
  <c r="S33" i="35"/>
  <c r="W33" i="35"/>
  <c r="V33" i="35" s="1"/>
  <c r="AA33" i="35"/>
  <c r="Z33" i="35" s="1"/>
  <c r="AE33" i="35"/>
  <c r="AD33" i="35" s="1"/>
  <c r="AI33" i="35"/>
  <c r="AM33" i="35"/>
  <c r="AL33" i="35" s="1"/>
  <c r="AI42" i="35"/>
  <c r="AM42" i="35"/>
  <c r="AM43" i="35" s="1"/>
  <c r="AM23" i="35"/>
  <c r="AM28" i="35"/>
  <c r="AI23" i="35"/>
  <c r="AI28" i="35"/>
  <c r="AI29" i="35" s="1"/>
  <c r="AA42" i="35"/>
  <c r="AA43" i="35" s="1"/>
  <c r="AE42" i="35"/>
  <c r="AE43" i="35" s="1"/>
  <c r="AE23" i="35"/>
  <c r="AE28" i="35"/>
  <c r="AE29" i="35" s="1"/>
  <c r="AA23" i="35"/>
  <c r="AA28" i="35"/>
  <c r="V45" i="35"/>
  <c r="V44" i="35"/>
  <c r="W23" i="35"/>
  <c r="W28" i="35"/>
  <c r="S23" i="35"/>
  <c r="S28" i="35"/>
  <c r="S29" i="35" s="1"/>
  <c r="N45" i="35"/>
  <c r="N44" i="35"/>
  <c r="O23" i="35"/>
  <c r="O28" i="35"/>
  <c r="O29" i="35" s="1"/>
  <c r="I42" i="35"/>
  <c r="K23" i="35"/>
  <c r="K28" i="35"/>
  <c r="I23" i="35"/>
  <c r="I28" i="35"/>
  <c r="C23" i="35"/>
  <c r="C28" i="35"/>
  <c r="B45" i="35"/>
  <c r="B44" i="35"/>
  <c r="B33" i="35"/>
  <c r="AI42" i="27" l="1"/>
  <c r="AI43" i="27" s="1"/>
  <c r="AM42" i="27"/>
  <c r="AE42" i="27"/>
  <c r="AE43" i="27" s="1"/>
  <c r="S36" i="24"/>
  <c r="G36" i="24"/>
  <c r="BW36" i="24"/>
  <c r="C30" i="24"/>
  <c r="AC36" i="24"/>
  <c r="AA30" i="24"/>
  <c r="AU30" i="24"/>
  <c r="BQ30" i="24"/>
  <c r="W36" i="24"/>
  <c r="BC36" i="24"/>
  <c r="AM36" i="24"/>
  <c r="AO36" i="24"/>
  <c r="BC30" i="24"/>
  <c r="AY30" i="24"/>
  <c r="Y36" i="24"/>
  <c r="BK30" i="24"/>
  <c r="AW30" i="24"/>
  <c r="AC30" i="24"/>
  <c r="Y30" i="24"/>
  <c r="C36" i="24"/>
  <c r="AA36" i="24"/>
  <c r="AY36" i="24"/>
  <c r="I30" i="24"/>
  <c r="BQ36" i="24"/>
  <c r="AK30" i="24"/>
  <c r="AM30" i="24"/>
  <c r="M30" i="24"/>
  <c r="BK36" i="24"/>
  <c r="G30" i="24"/>
  <c r="S30" i="24"/>
  <c r="AW36" i="24"/>
  <c r="AO30" i="24"/>
  <c r="BW30" i="24"/>
  <c r="BE36" i="24"/>
  <c r="BY30" i="24"/>
  <c r="W30" i="24"/>
  <c r="AE36" i="24"/>
  <c r="BM36" i="24"/>
  <c r="Q36" i="24"/>
  <c r="AG36" i="24"/>
  <c r="U36" i="24"/>
  <c r="BO30" i="24"/>
  <c r="CA36" i="24"/>
  <c r="AQ30" i="24"/>
  <c r="BG30" i="24"/>
  <c r="BS36" i="24"/>
  <c r="AI36" i="24"/>
  <c r="BA30" i="24"/>
  <c r="BU30" i="24"/>
  <c r="AS36" i="24"/>
  <c r="O36" i="24"/>
  <c r="CC30" i="24"/>
  <c r="E30" i="24"/>
  <c r="BI36" i="24"/>
  <c r="AI30" i="24"/>
  <c r="AE30" i="24"/>
  <c r="U30" i="24"/>
  <c r="BS30" i="24"/>
  <c r="BM30" i="24"/>
  <c r="BI30" i="24"/>
  <c r="O30" i="24"/>
  <c r="Q30" i="24"/>
  <c r="AS30" i="24"/>
  <c r="BE30" i="24"/>
  <c r="CA30" i="24"/>
  <c r="K30" i="24"/>
  <c r="AG30" i="24"/>
  <c r="W30" i="22"/>
  <c r="K36" i="22"/>
  <c r="S36" i="22"/>
  <c r="C30" i="22"/>
  <c r="AA30" i="22"/>
  <c r="Y36" i="22"/>
  <c r="W36" i="22"/>
  <c r="G30" i="22"/>
  <c r="G36" i="22"/>
  <c r="C36" i="22"/>
  <c r="M30" i="22"/>
  <c r="Y30" i="22"/>
  <c r="K30" i="22"/>
  <c r="U30" i="22"/>
  <c r="S30" i="22"/>
  <c r="O36" i="22"/>
  <c r="E30" i="22"/>
  <c r="Q36" i="22"/>
  <c r="I30" i="22"/>
  <c r="O30" i="22"/>
  <c r="Q30" i="22"/>
  <c r="BW42" i="24"/>
  <c r="BQ42" i="24"/>
  <c r="BQ43" i="24" s="1"/>
  <c r="BY33" i="24"/>
  <c r="BQ33" i="24"/>
  <c r="BW33" i="24"/>
  <c r="BS42" i="24"/>
  <c r="BS43" i="24" s="1"/>
  <c r="BU33" i="24"/>
  <c r="C37" i="21"/>
  <c r="D44" i="31"/>
  <c r="D45" i="31"/>
  <c r="C30" i="23"/>
  <c r="I29" i="35"/>
  <c r="AH33" i="35"/>
  <c r="R33" i="35"/>
  <c r="AB22" i="17"/>
  <c r="AC30" i="17"/>
  <c r="AC23" i="17"/>
  <c r="AC22" i="17"/>
  <c r="AC28" i="17"/>
  <c r="C29" i="17" s="1"/>
  <c r="U43" i="17"/>
  <c r="C32" i="21"/>
  <c r="N33" i="22"/>
  <c r="Q37" i="14"/>
  <c r="Q38" i="14" s="1"/>
  <c r="P47" i="14"/>
  <c r="P48" i="14" s="1"/>
  <c r="P49" i="14" s="1"/>
  <c r="Q47" i="14"/>
  <c r="Q48" i="14" s="1"/>
  <c r="Q49" i="14" s="1"/>
  <c r="L44" i="14"/>
  <c r="L45" i="14"/>
  <c r="C23" i="15"/>
  <c r="O36" i="28"/>
  <c r="Q30" i="28"/>
  <c r="S36" i="28"/>
  <c r="I36" i="28"/>
  <c r="E30" i="28"/>
  <c r="K30" i="28"/>
  <c r="Q36" i="28"/>
  <c r="U30" i="28"/>
  <c r="E36" i="28"/>
  <c r="O30" i="28"/>
  <c r="M36" i="28"/>
  <c r="G30" i="28"/>
  <c r="C36" i="28"/>
  <c r="S30" i="28"/>
  <c r="I30" i="28"/>
  <c r="K33" i="20"/>
  <c r="I42" i="20"/>
  <c r="I43" i="20" s="1"/>
  <c r="C33" i="26"/>
  <c r="B44" i="28"/>
  <c r="B45" i="28"/>
  <c r="J62" i="34"/>
  <c r="J61" i="34"/>
  <c r="K43" i="34"/>
  <c r="R44" i="33"/>
  <c r="R45" i="33"/>
  <c r="Y26" i="19"/>
  <c r="U26" i="19"/>
  <c r="S26" i="19"/>
  <c r="M26" i="19"/>
  <c r="O26" i="19"/>
  <c r="W26" i="19"/>
  <c r="AI26" i="19"/>
  <c r="E26" i="19"/>
  <c r="AK26" i="19"/>
  <c r="AM26" i="19"/>
  <c r="AE26" i="19"/>
  <c r="I26" i="19"/>
  <c r="G30" i="15"/>
  <c r="AC26" i="19"/>
  <c r="AH44" i="20"/>
  <c r="AH45" i="20"/>
  <c r="BM33" i="27"/>
  <c r="S42" i="24"/>
  <c r="W42" i="24"/>
  <c r="W43" i="24" s="1"/>
  <c r="AA42" i="24"/>
  <c r="AA43" i="24" s="1"/>
  <c r="Q42" i="24"/>
  <c r="Q43" i="24" s="1"/>
  <c r="AE42" i="24"/>
  <c r="AE43" i="24" s="1"/>
  <c r="M42" i="24"/>
  <c r="M43" i="24" s="1"/>
  <c r="O42" i="24"/>
  <c r="O43" i="24" s="1"/>
  <c r="S23" i="16"/>
  <c r="I23" i="16"/>
  <c r="O23" i="16"/>
  <c r="E23" i="16"/>
  <c r="G32" i="26"/>
  <c r="C32" i="23"/>
  <c r="G23" i="16"/>
  <c r="BS25" i="27"/>
  <c r="BS26" i="27"/>
  <c r="BS31" i="27"/>
  <c r="BS33" i="27"/>
  <c r="C42" i="30"/>
  <c r="C43" i="30" s="1"/>
  <c r="S42" i="30"/>
  <c r="S43" i="30" s="1"/>
  <c r="S33" i="30"/>
  <c r="G42" i="30"/>
  <c r="G43" i="30" s="1"/>
  <c r="G33" i="30"/>
  <c r="U42" i="30"/>
  <c r="U43" i="30" s="1"/>
  <c r="W33" i="30"/>
  <c r="K42" i="30"/>
  <c r="K43" i="30" s="1"/>
  <c r="K33" i="30"/>
  <c r="J33" i="30" s="1"/>
  <c r="L42" i="30" s="1"/>
  <c r="U33" i="30"/>
  <c r="O42" i="30"/>
  <c r="O43" i="30" s="1"/>
  <c r="E33" i="30"/>
  <c r="O33" i="30"/>
  <c r="I33" i="30"/>
  <c r="M33" i="30"/>
  <c r="C33" i="30"/>
  <c r="B33" i="30" s="1"/>
  <c r="D42" i="30" s="1"/>
  <c r="Q33" i="30"/>
  <c r="I42" i="30"/>
  <c r="I43" i="30" s="1"/>
  <c r="AS33" i="24"/>
  <c r="K36" i="33"/>
  <c r="G30" i="33"/>
  <c r="K30" i="33"/>
  <c r="W30" i="33"/>
  <c r="V30" i="33" s="1"/>
  <c r="S36" i="33"/>
  <c r="I30" i="33"/>
  <c r="U30" i="33"/>
  <c r="E30" i="33"/>
  <c r="Q30" i="33"/>
  <c r="O36" i="33"/>
  <c r="W36" i="33"/>
  <c r="C36" i="33"/>
  <c r="M30" i="33"/>
  <c r="G36" i="33"/>
  <c r="Y30" i="33"/>
  <c r="S30" i="33"/>
  <c r="R30" i="33" s="1"/>
  <c r="C30" i="33"/>
  <c r="B30" i="33" s="1"/>
  <c r="O30" i="33"/>
  <c r="BS29" i="24"/>
  <c r="BQ29" i="24"/>
  <c r="O51" i="17"/>
  <c r="N53" i="17"/>
  <c r="N54" i="17"/>
  <c r="N55" i="17"/>
  <c r="E33" i="15"/>
  <c r="I33" i="15"/>
  <c r="S33" i="15"/>
  <c r="G33" i="15"/>
  <c r="O33" i="15"/>
  <c r="G42" i="15"/>
  <c r="G43" i="15" s="1"/>
  <c r="K42" i="15"/>
  <c r="K43" i="15" s="1"/>
  <c r="M42" i="15"/>
  <c r="M43" i="15" s="1"/>
  <c r="C42" i="15"/>
  <c r="C43" i="15" s="1"/>
  <c r="Q42" i="15"/>
  <c r="Q43" i="15" s="1"/>
  <c r="AC33" i="17"/>
  <c r="AB25" i="17"/>
  <c r="AC25" i="17"/>
  <c r="AC26" i="17"/>
  <c r="AC31" i="17"/>
  <c r="E23" i="8"/>
  <c r="S47" i="14"/>
  <c r="S48" i="14" s="1"/>
  <c r="S49" i="14" s="1"/>
  <c r="R47" i="14"/>
  <c r="R48" i="14" s="1"/>
  <c r="R49" i="14" s="1"/>
  <c r="S37" i="14"/>
  <c r="S38" i="14" s="1"/>
  <c r="C26" i="4"/>
  <c r="C25" i="4"/>
  <c r="C31" i="4"/>
  <c r="C32" i="4" s="1"/>
  <c r="C33" i="4"/>
  <c r="B25" i="4"/>
  <c r="F33" i="33"/>
  <c r="S23" i="15"/>
  <c r="I23" i="15"/>
  <c r="E23" i="15"/>
  <c r="O23" i="15"/>
  <c r="K43" i="22"/>
  <c r="J61" i="22"/>
  <c r="J62" i="22"/>
  <c r="F44" i="34"/>
  <c r="F45" i="34"/>
  <c r="D36" i="29"/>
  <c r="B47" i="29"/>
  <c r="B48" i="29" s="1"/>
  <c r="B49" i="29" s="1"/>
  <c r="C50" i="29" s="1"/>
  <c r="C47" i="29"/>
  <c r="C48" i="29" s="1"/>
  <c r="C49" i="29" s="1"/>
  <c r="C37" i="29"/>
  <c r="K33" i="17"/>
  <c r="I33" i="17"/>
  <c r="G42" i="17"/>
  <c r="G43" i="17" s="1"/>
  <c r="G23" i="15"/>
  <c r="AQ32" i="27"/>
  <c r="AA30" i="17"/>
  <c r="W30" i="17"/>
  <c r="O30" i="17"/>
  <c r="S30" i="17"/>
  <c r="K23" i="15"/>
  <c r="Y32" i="17"/>
  <c r="K29" i="35"/>
  <c r="C43" i="17"/>
  <c r="B61" i="17"/>
  <c r="Q26" i="21"/>
  <c r="O26" i="21"/>
  <c r="E26" i="21"/>
  <c r="M26" i="21"/>
  <c r="G26" i="21"/>
  <c r="I26" i="21"/>
  <c r="AY33" i="24"/>
  <c r="I33" i="24"/>
  <c r="G42" i="24"/>
  <c r="G43" i="24" s="1"/>
  <c r="AW33" i="24"/>
  <c r="BC33" i="24"/>
  <c r="G33" i="24"/>
  <c r="K42" i="24"/>
  <c r="M36" i="24"/>
  <c r="K36" i="24"/>
  <c r="CA29" i="24"/>
  <c r="BW29" i="24"/>
  <c r="K29" i="16"/>
  <c r="I33" i="20"/>
  <c r="O26" i="26"/>
  <c r="Q26" i="26"/>
  <c r="AA26" i="26"/>
  <c r="U26" i="26"/>
  <c r="I26" i="26"/>
  <c r="S26" i="26"/>
  <c r="E26" i="26"/>
  <c r="M26" i="26"/>
  <c r="W26" i="26"/>
  <c r="J33" i="34"/>
  <c r="P42" i="34" s="1"/>
  <c r="F33" i="34"/>
  <c r="B33" i="34" s="1"/>
  <c r="H42" i="34" s="1"/>
  <c r="S26" i="17"/>
  <c r="Q26" i="17"/>
  <c r="AA26" i="17"/>
  <c r="W26" i="17"/>
  <c r="O26" i="17"/>
  <c r="AQ43" i="20"/>
  <c r="AP61" i="20"/>
  <c r="AP62" i="20"/>
  <c r="E42" i="19"/>
  <c r="E43" i="19" s="1"/>
  <c r="U33" i="19"/>
  <c r="S33" i="19"/>
  <c r="W33" i="19"/>
  <c r="Y33" i="19"/>
  <c r="O33" i="19"/>
  <c r="M33" i="19"/>
  <c r="AK33" i="19"/>
  <c r="AM33" i="19"/>
  <c r="AI33" i="19"/>
  <c r="E33" i="19"/>
  <c r="AE33" i="19"/>
  <c r="C42" i="19"/>
  <c r="I33" i="19"/>
  <c r="BK33" i="24"/>
  <c r="BI42" i="24"/>
  <c r="BI33" i="24"/>
  <c r="BK42" i="24"/>
  <c r="BO33" i="24"/>
  <c r="BM42" i="24"/>
  <c r="E23" i="26"/>
  <c r="U23" i="26"/>
  <c r="O23" i="26"/>
  <c r="W23" i="26"/>
  <c r="I23" i="26"/>
  <c r="Q23" i="26"/>
  <c r="M23" i="26"/>
  <c r="AA23" i="26"/>
  <c r="Q26" i="19"/>
  <c r="E42" i="8"/>
  <c r="E43" i="8" s="1"/>
  <c r="E33" i="8"/>
  <c r="C42" i="8"/>
  <c r="C43" i="8" s="1"/>
  <c r="C36" i="31"/>
  <c r="C30" i="31"/>
  <c r="G30" i="31"/>
  <c r="E36" i="31"/>
  <c r="E30" i="31"/>
  <c r="D30" i="31" s="1"/>
  <c r="C26" i="12"/>
  <c r="E36" i="8"/>
  <c r="C36" i="8"/>
  <c r="AC33" i="19"/>
  <c r="BM33" i="24"/>
  <c r="BE29" i="24"/>
  <c r="BC29" i="24"/>
  <c r="BW29" i="27"/>
  <c r="C23" i="16"/>
  <c r="BS33" i="24"/>
  <c r="I37" i="21"/>
  <c r="K32" i="15"/>
  <c r="Q23" i="12"/>
  <c r="G23" i="12"/>
  <c r="I23" i="12"/>
  <c r="M23" i="15"/>
  <c r="B53" i="25"/>
  <c r="C51" i="25"/>
  <c r="B55" i="25"/>
  <c r="B56" i="25"/>
  <c r="B54" i="25"/>
  <c r="D33" i="31"/>
  <c r="BQ25" i="27"/>
  <c r="BS22" i="27"/>
  <c r="BS28" i="27"/>
  <c r="BS29" i="27" s="1"/>
  <c r="BS23" i="27"/>
  <c r="BM22" i="27"/>
  <c r="BL22" i="27"/>
  <c r="Q23" i="23"/>
  <c r="Y23" i="23"/>
  <c r="U23" i="23"/>
  <c r="I23" i="23"/>
  <c r="K23" i="23"/>
  <c r="S23" i="23"/>
  <c r="W23" i="23"/>
  <c r="G23" i="23"/>
  <c r="M23" i="23"/>
  <c r="E23" i="23"/>
  <c r="C29" i="19"/>
  <c r="U23" i="20"/>
  <c r="AA23" i="20"/>
  <c r="E23" i="20"/>
  <c r="W23" i="20"/>
  <c r="AS23" i="20"/>
  <c r="C23" i="20"/>
  <c r="AC23" i="20"/>
  <c r="AM23" i="20"/>
  <c r="Q23" i="20"/>
  <c r="G23" i="20"/>
  <c r="AK23" i="20"/>
  <c r="K23" i="20"/>
  <c r="O23" i="20"/>
  <c r="AO23" i="20"/>
  <c r="AG23" i="20"/>
  <c r="Y23" i="20"/>
  <c r="S23" i="20"/>
  <c r="AU23" i="20"/>
  <c r="M23" i="32"/>
  <c r="M28" i="32"/>
  <c r="C29" i="32" s="1"/>
  <c r="M30" i="32" s="1"/>
  <c r="B45" i="16"/>
  <c r="B44" i="16"/>
  <c r="Y33" i="17"/>
  <c r="J62" i="33"/>
  <c r="J61" i="33"/>
  <c r="K43" i="33"/>
  <c r="R33" i="33"/>
  <c r="C42" i="14"/>
  <c r="E33" i="14"/>
  <c r="Y43" i="19"/>
  <c r="X62" i="19"/>
  <c r="X61" i="19"/>
  <c r="Y43" i="14"/>
  <c r="T61" i="14"/>
  <c r="T62" i="14"/>
  <c r="S33" i="26"/>
  <c r="U33" i="26"/>
  <c r="E33" i="26"/>
  <c r="M33" i="26"/>
  <c r="W33" i="26"/>
  <c r="C42" i="26"/>
  <c r="I43" i="28"/>
  <c r="H62" i="28"/>
  <c r="H61" i="28"/>
  <c r="Q30" i="30"/>
  <c r="K36" i="30"/>
  <c r="O36" i="30"/>
  <c r="W30" i="30"/>
  <c r="E30" i="30"/>
  <c r="C36" i="30"/>
  <c r="M30" i="30"/>
  <c r="K30" i="30"/>
  <c r="S36" i="30"/>
  <c r="C30" i="30"/>
  <c r="B30" i="30" s="1"/>
  <c r="G36" i="30"/>
  <c r="I30" i="30"/>
  <c r="U36" i="30"/>
  <c r="I36" i="30"/>
  <c r="S30" i="30"/>
  <c r="R30" i="30" s="1"/>
  <c r="U30" i="30"/>
  <c r="T30" i="30" s="1"/>
  <c r="O30" i="30"/>
  <c r="N30" i="30" s="1"/>
  <c r="G30" i="30"/>
  <c r="C29" i="16"/>
  <c r="F45" i="19"/>
  <c r="F44" i="19"/>
  <c r="M37" i="21"/>
  <c r="M38" i="21" s="1"/>
  <c r="M26" i="32"/>
  <c r="M31" i="32"/>
  <c r="C32" i="32" s="1"/>
  <c r="M33" i="32"/>
  <c r="U36" i="23"/>
  <c r="U30" i="23"/>
  <c r="I30" i="23"/>
  <c r="I36" i="23"/>
  <c r="Q30" i="23"/>
  <c r="Y30" i="23"/>
  <c r="S30" i="23"/>
  <c r="W30" i="23"/>
  <c r="K30" i="23"/>
  <c r="C36" i="23"/>
  <c r="G30" i="23"/>
  <c r="O36" i="23"/>
  <c r="M30" i="23"/>
  <c r="E30" i="23"/>
  <c r="O23" i="19"/>
  <c r="E23" i="19"/>
  <c r="U23" i="19"/>
  <c r="Y23" i="19"/>
  <c r="AM23" i="19"/>
  <c r="AK23" i="19"/>
  <c r="AG23" i="19"/>
  <c r="I23" i="19"/>
  <c r="M23" i="19"/>
  <c r="AI23" i="19"/>
  <c r="AE23" i="19"/>
  <c r="W23" i="19"/>
  <c r="S23" i="19"/>
  <c r="AA23" i="19"/>
  <c r="B56" i="9"/>
  <c r="B28" i="11" s="1"/>
  <c r="C51" i="9"/>
  <c r="B54" i="9"/>
  <c r="D28" i="11" s="1"/>
  <c r="B55" i="9"/>
  <c r="E28" i="11" s="1"/>
  <c r="B53" i="9"/>
  <c r="C28" i="11" s="1"/>
  <c r="Z44" i="20"/>
  <c r="Z45" i="20"/>
  <c r="W29" i="35"/>
  <c r="AA29" i="35"/>
  <c r="B33" i="36"/>
  <c r="C26" i="21"/>
  <c r="M37" i="14"/>
  <c r="L47" i="14"/>
  <c r="L48" i="14" s="1"/>
  <c r="L49" i="14" s="1"/>
  <c r="M47" i="14"/>
  <c r="M48" i="14" s="1"/>
  <c r="M49" i="14" s="1"/>
  <c r="S30" i="15"/>
  <c r="E30" i="15"/>
  <c r="I30" i="15"/>
  <c r="K36" i="15"/>
  <c r="M36" i="15"/>
  <c r="O30" i="15"/>
  <c r="C36" i="15"/>
  <c r="G36" i="15"/>
  <c r="Q36" i="15"/>
  <c r="BE33" i="27"/>
  <c r="O42" i="27"/>
  <c r="O43" i="27" s="1"/>
  <c r="E33" i="27"/>
  <c r="BY33" i="27"/>
  <c r="BC33" i="27"/>
  <c r="G42" i="27"/>
  <c r="G43" i="27" s="1"/>
  <c r="CA33" i="27"/>
  <c r="M33" i="27"/>
  <c r="CC33" i="27"/>
  <c r="U33" i="27"/>
  <c r="BO33" i="27"/>
  <c r="BK33" i="27"/>
  <c r="C42" i="27"/>
  <c r="C43" i="27" s="1"/>
  <c r="BU33" i="27"/>
  <c r="BG33" i="27"/>
  <c r="S42" i="27"/>
  <c r="K42" i="27"/>
  <c r="K43" i="27" s="1"/>
  <c r="B62" i="22"/>
  <c r="C43" i="22"/>
  <c r="B61" i="22"/>
  <c r="B62" i="34"/>
  <c r="B61" i="34"/>
  <c r="C43" i="34"/>
  <c r="M32" i="17"/>
  <c r="K32" i="17"/>
  <c r="V44" i="33"/>
  <c r="V45" i="33"/>
  <c r="K26" i="17"/>
  <c r="I26" i="17"/>
  <c r="AC23" i="19"/>
  <c r="C29" i="26"/>
  <c r="G36" i="14"/>
  <c r="E30" i="14"/>
  <c r="Y36" i="14"/>
  <c r="C36" i="14"/>
  <c r="U36" i="14"/>
  <c r="Q32" i="19"/>
  <c r="O32" i="19"/>
  <c r="AI42" i="24"/>
  <c r="AG42" i="24"/>
  <c r="O26" i="12"/>
  <c r="M26" i="12"/>
  <c r="I26" i="12"/>
  <c r="Q26" i="12"/>
  <c r="G26" i="12"/>
  <c r="K26" i="12"/>
  <c r="BI33" i="27"/>
  <c r="AM42" i="24"/>
  <c r="AM43" i="24" s="1"/>
  <c r="AO42" i="24"/>
  <c r="AO43" i="24" s="1"/>
  <c r="AS42" i="24"/>
  <c r="AA23" i="17"/>
  <c r="O23" i="17"/>
  <c r="S23" i="17"/>
  <c r="W23" i="17"/>
  <c r="C29" i="34"/>
  <c r="C43" i="20"/>
  <c r="M43" i="20"/>
  <c r="L61" i="20"/>
  <c r="L62" i="20"/>
  <c r="K30" i="15"/>
  <c r="K29" i="15"/>
  <c r="Q37" i="21"/>
  <c r="Q38" i="21" s="1"/>
  <c r="O37" i="21"/>
  <c r="O38" i="21" s="1"/>
  <c r="K26" i="23"/>
  <c r="G26" i="23"/>
  <c r="Q26" i="23"/>
  <c r="M26" i="23"/>
  <c r="Y26" i="23"/>
  <c r="I26" i="23"/>
  <c r="S26" i="23"/>
  <c r="W26" i="23"/>
  <c r="E26" i="23"/>
  <c r="C29" i="12"/>
  <c r="K23" i="26"/>
  <c r="G26" i="19"/>
  <c r="B45" i="31"/>
  <c r="B44" i="31"/>
  <c r="B33" i="31"/>
  <c r="F42" i="31" s="1"/>
  <c r="Q30" i="15"/>
  <c r="BQ33" i="27"/>
  <c r="C28" i="4"/>
  <c r="C29" i="4" s="1"/>
  <c r="C22" i="4"/>
  <c r="B22" i="4"/>
  <c r="C29" i="20"/>
  <c r="BK29" i="24"/>
  <c r="BM29" i="24"/>
  <c r="C23" i="19"/>
  <c r="CA33" i="24"/>
  <c r="BH22" i="27"/>
  <c r="C39" i="18"/>
  <c r="C40" i="18"/>
  <c r="B40" i="9"/>
  <c r="C38" i="9"/>
  <c r="B39" i="9"/>
  <c r="O37" i="14"/>
  <c r="O38" i="14" s="1"/>
  <c r="O47" i="14"/>
  <c r="O48" i="14" s="1"/>
  <c r="O49" i="14" s="1"/>
  <c r="N47" i="14"/>
  <c r="N48" i="14" s="1"/>
  <c r="N49" i="14" s="1"/>
  <c r="B61" i="24"/>
  <c r="C43" i="24"/>
  <c r="B62" i="24"/>
  <c r="G43" i="33"/>
  <c r="B61" i="33"/>
  <c r="B62" i="33"/>
  <c r="V33" i="33"/>
  <c r="M30" i="37"/>
  <c r="L30" i="37" s="1"/>
  <c r="J30" i="37" s="1"/>
  <c r="G36" i="37"/>
  <c r="O30" i="37"/>
  <c r="M36" i="37"/>
  <c r="K36" i="37"/>
  <c r="F60" i="37" s="1"/>
  <c r="I30" i="37"/>
  <c r="K30" i="37"/>
  <c r="G30" i="37"/>
  <c r="F30" i="37" s="1"/>
  <c r="L45" i="37"/>
  <c r="L44" i="37"/>
  <c r="F45" i="37"/>
  <c r="F44" i="37"/>
  <c r="C36" i="37"/>
  <c r="G47" i="37"/>
  <c r="G48" i="37" s="1"/>
  <c r="G49" i="37" s="1"/>
  <c r="F47" i="37"/>
  <c r="F48" i="37" s="1"/>
  <c r="F49" i="37" s="1"/>
  <c r="G37" i="37"/>
  <c r="B62" i="37"/>
  <c r="B61" i="37"/>
  <c r="C43" i="37"/>
  <c r="C29" i="36"/>
  <c r="F62" i="36"/>
  <c r="F61" i="36"/>
  <c r="G43" i="36"/>
  <c r="B62" i="36"/>
  <c r="B61" i="36"/>
  <c r="C43" i="36"/>
  <c r="H62" i="35"/>
  <c r="H61" i="35"/>
  <c r="N33" i="35"/>
  <c r="AM29" i="35"/>
  <c r="C29" i="35"/>
  <c r="AL45" i="35"/>
  <c r="AL44" i="35"/>
  <c r="AD62" i="35"/>
  <c r="AD61" i="35"/>
  <c r="AI43" i="35"/>
  <c r="AD45" i="35"/>
  <c r="AD44" i="35"/>
  <c r="Z45" i="35"/>
  <c r="Z44" i="35"/>
  <c r="I43" i="35"/>
  <c r="K43" i="35"/>
  <c r="B62" i="35"/>
  <c r="B61" i="35"/>
  <c r="C30" i="17" l="1"/>
  <c r="C36" i="17"/>
  <c r="U36" i="17"/>
  <c r="G36" i="17"/>
  <c r="E30" i="17"/>
  <c r="Y36" i="17"/>
  <c r="Q36" i="17"/>
  <c r="M36" i="17"/>
  <c r="AC36" i="17"/>
  <c r="M23" i="4"/>
  <c r="Q23" i="4"/>
  <c r="W23" i="4"/>
  <c r="O23" i="4"/>
  <c r="S23" i="4"/>
  <c r="U23" i="4"/>
  <c r="I23" i="4"/>
  <c r="E23" i="4"/>
  <c r="G23" i="4"/>
  <c r="K23" i="4"/>
  <c r="T47" i="14"/>
  <c r="T48" i="14" s="1"/>
  <c r="T49" i="14" s="1"/>
  <c r="U50" i="14" s="1"/>
  <c r="T59" i="14"/>
  <c r="U47" i="14"/>
  <c r="U48" i="14" s="1"/>
  <c r="U49" i="14" s="1"/>
  <c r="T60" i="14"/>
  <c r="U37" i="14"/>
  <c r="U38" i="14" s="1"/>
  <c r="M47" i="15"/>
  <c r="M48" i="15" s="1"/>
  <c r="M49" i="15" s="1"/>
  <c r="M37" i="15"/>
  <c r="M38" i="15" s="1"/>
  <c r="L47" i="15"/>
  <c r="L48" i="15" s="1"/>
  <c r="L49" i="15" s="1"/>
  <c r="M50" i="15" s="1"/>
  <c r="M51" i="15" s="1"/>
  <c r="N47" i="30"/>
  <c r="N48" i="30" s="1"/>
  <c r="N49" i="30" s="1"/>
  <c r="O37" i="30"/>
  <c r="P36" i="30"/>
  <c r="O47" i="30"/>
  <c r="O48" i="30" s="1"/>
  <c r="O49" i="30" s="1"/>
  <c r="B45" i="8"/>
  <c r="B44" i="8"/>
  <c r="BM43" i="24"/>
  <c r="BL61" i="24"/>
  <c r="BL62" i="24"/>
  <c r="B44" i="17"/>
  <c r="B45" i="17"/>
  <c r="O37" i="28"/>
  <c r="O38" i="28" s="1"/>
  <c r="N47" i="28"/>
  <c r="N48" i="28" s="1"/>
  <c r="N49" i="28" s="1"/>
  <c r="O50" i="28" s="1"/>
  <c r="O47" i="28"/>
  <c r="O48" i="28" s="1"/>
  <c r="O49" i="28" s="1"/>
  <c r="G50" i="37"/>
  <c r="F45" i="33"/>
  <c r="F44" i="33"/>
  <c r="O50" i="14"/>
  <c r="C39" i="9"/>
  <c r="C40" i="9"/>
  <c r="B62" i="20"/>
  <c r="J44" i="27"/>
  <c r="J45" i="27"/>
  <c r="B45" i="27"/>
  <c r="B44" i="27"/>
  <c r="L40" i="14"/>
  <c r="M39" i="14"/>
  <c r="M38" i="14"/>
  <c r="M40" i="14"/>
  <c r="L39" i="14"/>
  <c r="U37" i="23"/>
  <c r="J30" i="30"/>
  <c r="L36" i="30" s="1"/>
  <c r="C43" i="26"/>
  <c r="H39" i="21"/>
  <c r="H40" i="21"/>
  <c r="I38" i="21"/>
  <c r="C37" i="31"/>
  <c r="B47" i="31"/>
  <c r="B48" i="31" s="1"/>
  <c r="B49" i="31" s="1"/>
  <c r="C50" i="31" s="1"/>
  <c r="C47" i="31"/>
  <c r="C48" i="31" s="1"/>
  <c r="C49" i="31" s="1"/>
  <c r="B61" i="19"/>
  <c r="B62" i="19"/>
  <c r="C43" i="19"/>
  <c r="C29" i="27"/>
  <c r="Y42" i="17"/>
  <c r="AC42" i="17"/>
  <c r="AC43" i="17" s="1"/>
  <c r="E26" i="4"/>
  <c r="M26" i="4"/>
  <c r="W26" i="4"/>
  <c r="S26" i="4"/>
  <c r="Q26" i="4"/>
  <c r="O26" i="4"/>
  <c r="U26" i="4"/>
  <c r="G26" i="4"/>
  <c r="I26" i="4"/>
  <c r="K26" i="4"/>
  <c r="N30" i="33"/>
  <c r="G37" i="33"/>
  <c r="G47" i="33"/>
  <c r="G48" i="33" s="1"/>
  <c r="G49" i="33" s="1"/>
  <c r="F47" i="33"/>
  <c r="F48" i="33" s="1"/>
  <c r="F49" i="33" s="1"/>
  <c r="O37" i="33"/>
  <c r="O47" i="33"/>
  <c r="O48" i="33" s="1"/>
  <c r="O49" i="33" s="1"/>
  <c r="N47" i="33"/>
  <c r="N48" i="33" s="1"/>
  <c r="N49" i="33" s="1"/>
  <c r="F30" i="33"/>
  <c r="N33" i="30"/>
  <c r="P42" i="30" s="1"/>
  <c r="F33" i="30"/>
  <c r="B45" i="30"/>
  <c r="B44" i="30"/>
  <c r="BE29" i="27"/>
  <c r="O37" i="22"/>
  <c r="O38" i="22" s="1"/>
  <c r="N47" i="22"/>
  <c r="N48" i="22" s="1"/>
  <c r="N49" i="22" s="1"/>
  <c r="O50" i="22" s="1"/>
  <c r="O51" i="22" s="1"/>
  <c r="O47" i="22"/>
  <c r="O48" i="22" s="1"/>
  <c r="O49" i="22" s="1"/>
  <c r="BM29" i="27"/>
  <c r="AG47" i="24"/>
  <c r="AG48" i="24" s="1"/>
  <c r="AG49" i="24" s="1"/>
  <c r="AF47" i="24"/>
  <c r="AF48" i="24" s="1"/>
  <c r="AF49" i="24" s="1"/>
  <c r="AF60" i="24"/>
  <c r="AF59" i="24"/>
  <c r="AG37" i="24"/>
  <c r="BK47" i="24"/>
  <c r="BK48" i="24" s="1"/>
  <c r="BK49" i="24" s="1"/>
  <c r="BJ47" i="24"/>
  <c r="BJ48" i="24" s="1"/>
  <c r="BJ49" i="24" s="1"/>
  <c r="BJ59" i="24"/>
  <c r="BK37" i="24"/>
  <c r="BK38" i="24" s="1"/>
  <c r="BJ60" i="24"/>
  <c r="BQ37" i="24"/>
  <c r="BQ38" i="24" s="1"/>
  <c r="BP47" i="24"/>
  <c r="BP48" i="24" s="1"/>
  <c r="BP49" i="24" s="1"/>
  <c r="BQ47" i="24"/>
  <c r="BQ48" i="24" s="1"/>
  <c r="BQ49" i="24" s="1"/>
  <c r="C47" i="24"/>
  <c r="C48" i="24" s="1"/>
  <c r="C49" i="24" s="1"/>
  <c r="C37" i="24"/>
  <c r="B59" i="24"/>
  <c r="B47" i="24"/>
  <c r="B48" i="24" s="1"/>
  <c r="B49" i="24" s="1"/>
  <c r="C50" i="24" s="1"/>
  <c r="B60" i="24"/>
  <c r="AO37" i="24"/>
  <c r="AO38" i="24" s="1"/>
  <c r="AO47" i="24"/>
  <c r="AO48" i="24" s="1"/>
  <c r="AO49" i="24" s="1"/>
  <c r="AN47" i="24"/>
  <c r="AN48" i="24" s="1"/>
  <c r="AN49" i="24" s="1"/>
  <c r="AO50" i="24" s="1"/>
  <c r="AO51" i="24" s="1"/>
  <c r="AF61" i="24"/>
  <c r="AG43" i="24"/>
  <c r="AF62" i="24"/>
  <c r="R62" i="27"/>
  <c r="S43" i="27"/>
  <c r="R61" i="27"/>
  <c r="O37" i="23"/>
  <c r="O47" i="23"/>
  <c r="O48" i="23" s="1"/>
  <c r="O49" i="23" s="1"/>
  <c r="F47" i="30"/>
  <c r="F48" i="30" s="1"/>
  <c r="F49" i="30" s="1"/>
  <c r="G50" i="30" s="1"/>
  <c r="G47" i="30"/>
  <c r="G48" i="30" s="1"/>
  <c r="G49" i="30" s="1"/>
  <c r="G37" i="30"/>
  <c r="B62" i="14"/>
  <c r="C43" i="14"/>
  <c r="B61" i="14"/>
  <c r="E47" i="31"/>
  <c r="E48" i="31" s="1"/>
  <c r="E49" i="31" s="1"/>
  <c r="D47" i="31"/>
  <c r="D48" i="31" s="1"/>
  <c r="D49" i="31" s="1"/>
  <c r="E50" i="31" s="1"/>
  <c r="E37" i="31"/>
  <c r="B44" i="15"/>
  <c r="B45" i="15"/>
  <c r="S37" i="33"/>
  <c r="S47" i="33"/>
  <c r="S48" i="33" s="1"/>
  <c r="S49" i="33" s="1"/>
  <c r="R47" i="33"/>
  <c r="R48" i="33" s="1"/>
  <c r="R49" i="33" s="1"/>
  <c r="J59" i="33"/>
  <c r="K37" i="33"/>
  <c r="K47" i="33"/>
  <c r="K48" i="33" s="1"/>
  <c r="K49" i="33" s="1"/>
  <c r="J47" i="33"/>
  <c r="J48" i="33" s="1"/>
  <c r="J49" i="33" s="1"/>
  <c r="J60" i="33"/>
  <c r="F44" i="30"/>
  <c r="F45" i="30"/>
  <c r="O42" i="21"/>
  <c r="M42" i="21"/>
  <c r="M33" i="21"/>
  <c r="G42" i="21"/>
  <c r="G43" i="21" s="1"/>
  <c r="O33" i="21"/>
  <c r="Q42" i="21"/>
  <c r="I33" i="21"/>
  <c r="G33" i="21"/>
  <c r="I42" i="21"/>
  <c r="Q33" i="21"/>
  <c r="E33" i="21"/>
  <c r="E42" i="21"/>
  <c r="E43" i="21" s="1"/>
  <c r="C42" i="21"/>
  <c r="K42" i="21"/>
  <c r="K43" i="21" s="1"/>
  <c r="K33" i="21"/>
  <c r="C33" i="21"/>
  <c r="W37" i="22"/>
  <c r="W47" i="22"/>
  <c r="W48" i="22" s="1"/>
  <c r="W49" i="22" s="1"/>
  <c r="V47" i="22"/>
  <c r="V48" i="22" s="1"/>
  <c r="V49" i="22" s="1"/>
  <c r="W50" i="22" s="1"/>
  <c r="W51" i="22" s="1"/>
  <c r="O37" i="24"/>
  <c r="O38" i="24" s="1"/>
  <c r="O47" i="24"/>
  <c r="O48" i="24" s="1"/>
  <c r="O49" i="24" s="1"/>
  <c r="N47" i="24"/>
  <c r="N48" i="24" s="1"/>
  <c r="N49" i="24" s="1"/>
  <c r="CA37" i="24"/>
  <c r="CA38" i="24" s="1"/>
  <c r="CA47" i="24"/>
  <c r="CA48" i="24" s="1"/>
  <c r="CA49" i="24" s="1"/>
  <c r="BZ47" i="24"/>
  <c r="BZ48" i="24" s="1"/>
  <c r="BZ49" i="24" s="1"/>
  <c r="AM37" i="24"/>
  <c r="AL47" i="24"/>
  <c r="AL48" i="24" s="1"/>
  <c r="AL49" i="24" s="1"/>
  <c r="AM47" i="24"/>
  <c r="AM48" i="24" s="1"/>
  <c r="AM49" i="24" s="1"/>
  <c r="BV60" i="24"/>
  <c r="BW47" i="24"/>
  <c r="BW48" i="24" s="1"/>
  <c r="BW49" i="24" s="1"/>
  <c r="BV47" i="24"/>
  <c r="BV48" i="24" s="1"/>
  <c r="BV49" i="24" s="1"/>
  <c r="BW50" i="24" s="1"/>
  <c r="BV59" i="24"/>
  <c r="BW37" i="24"/>
  <c r="BW38" i="24" s="1"/>
  <c r="F59" i="37"/>
  <c r="Q30" i="4"/>
  <c r="W30" i="4"/>
  <c r="O30" i="4"/>
  <c r="O36" i="4"/>
  <c r="W36" i="4"/>
  <c r="Q36" i="4"/>
  <c r="M36" i="4"/>
  <c r="S36" i="4"/>
  <c r="M30" i="4"/>
  <c r="S30" i="4"/>
  <c r="K36" i="4"/>
  <c r="E36" i="4"/>
  <c r="U36" i="4"/>
  <c r="I36" i="4"/>
  <c r="G36" i="4"/>
  <c r="I30" i="4"/>
  <c r="K30" i="4"/>
  <c r="G30" i="4"/>
  <c r="E30" i="4"/>
  <c r="C36" i="4"/>
  <c r="U30" i="4"/>
  <c r="O36" i="26"/>
  <c r="U30" i="26"/>
  <c r="U36" i="26"/>
  <c r="O30" i="26"/>
  <c r="E30" i="26"/>
  <c r="M30" i="26"/>
  <c r="AA30" i="26"/>
  <c r="Y36" i="26"/>
  <c r="W30" i="26"/>
  <c r="I30" i="26"/>
  <c r="Q30" i="26"/>
  <c r="G36" i="26"/>
  <c r="C36" i="26"/>
  <c r="K36" i="26"/>
  <c r="S36" i="26"/>
  <c r="K30" i="26"/>
  <c r="S30" i="26"/>
  <c r="C30" i="26"/>
  <c r="Y30" i="26"/>
  <c r="G30" i="26"/>
  <c r="B45" i="34"/>
  <c r="B44" i="34"/>
  <c r="B44" i="22"/>
  <c r="B45" i="22"/>
  <c r="G37" i="15"/>
  <c r="G38" i="15" s="1"/>
  <c r="F47" i="15"/>
  <c r="F48" i="15" s="1"/>
  <c r="F49" i="15" s="1"/>
  <c r="G50" i="15" s="1"/>
  <c r="G51" i="15" s="1"/>
  <c r="G47" i="15"/>
  <c r="G48" i="15" s="1"/>
  <c r="G49" i="15" s="1"/>
  <c r="J47" i="15"/>
  <c r="J48" i="15" s="1"/>
  <c r="J49" i="15" s="1"/>
  <c r="K47" i="15"/>
  <c r="K48" i="15" s="1"/>
  <c r="K49" i="15" s="1"/>
  <c r="K37" i="15"/>
  <c r="K38" i="15" s="1"/>
  <c r="BQ29" i="27"/>
  <c r="E33" i="32"/>
  <c r="E42" i="32"/>
  <c r="E43" i="32" s="1"/>
  <c r="I33" i="32"/>
  <c r="O42" i="32"/>
  <c r="O43" i="32" s="1"/>
  <c r="I42" i="32"/>
  <c r="I43" i="32" s="1"/>
  <c r="C42" i="32"/>
  <c r="C43" i="32" s="1"/>
  <c r="G33" i="32"/>
  <c r="O33" i="32"/>
  <c r="K33" i="32"/>
  <c r="Q33" i="32"/>
  <c r="C33" i="32"/>
  <c r="M42" i="32"/>
  <c r="M43" i="32" s="1"/>
  <c r="I47" i="30"/>
  <c r="I48" i="30" s="1"/>
  <c r="I49" i="30" s="1"/>
  <c r="I37" i="30"/>
  <c r="H47" i="30"/>
  <c r="H48" i="30" s="1"/>
  <c r="H49" i="30" s="1"/>
  <c r="C37" i="30"/>
  <c r="C47" i="30"/>
  <c r="C48" i="30" s="1"/>
  <c r="C49" i="30" s="1"/>
  <c r="B47" i="30"/>
  <c r="B48" i="30" s="1"/>
  <c r="B49" i="30" s="1"/>
  <c r="D36" i="30"/>
  <c r="K37" i="30"/>
  <c r="J47" i="30"/>
  <c r="J48" i="30" s="1"/>
  <c r="J49" i="30" s="1"/>
  <c r="K47" i="30"/>
  <c r="K48" i="30" s="1"/>
  <c r="K49" i="30" s="1"/>
  <c r="E30" i="19"/>
  <c r="Y36" i="19"/>
  <c r="I30" i="19"/>
  <c r="U36" i="19"/>
  <c r="Y30" i="19"/>
  <c r="AG30" i="19"/>
  <c r="O36" i="19"/>
  <c r="U30" i="19"/>
  <c r="AG36" i="19"/>
  <c r="O30" i="19"/>
  <c r="AI36" i="19"/>
  <c r="AK30" i="19"/>
  <c r="AM30" i="19"/>
  <c r="W30" i="19"/>
  <c r="Q36" i="19"/>
  <c r="S30" i="19"/>
  <c r="AC36" i="19"/>
  <c r="C36" i="19"/>
  <c r="G36" i="19"/>
  <c r="M30" i="19"/>
  <c r="AE30" i="19"/>
  <c r="K36" i="19"/>
  <c r="AA30" i="19"/>
  <c r="AI30" i="19"/>
  <c r="Q30" i="19"/>
  <c r="C30" i="19"/>
  <c r="AC30" i="19"/>
  <c r="K30" i="19"/>
  <c r="G30" i="19"/>
  <c r="E37" i="8"/>
  <c r="E38" i="8" s="1"/>
  <c r="D47" i="8"/>
  <c r="D48" i="8" s="1"/>
  <c r="D49" i="8" s="1"/>
  <c r="E47" i="8"/>
  <c r="E48" i="8" s="1"/>
  <c r="E49" i="8" s="1"/>
  <c r="M47" i="24"/>
  <c r="M48" i="24" s="1"/>
  <c r="M49" i="24" s="1"/>
  <c r="M37" i="24"/>
  <c r="M38" i="24" s="1"/>
  <c r="L47" i="24"/>
  <c r="L48" i="24" s="1"/>
  <c r="L49" i="24" s="1"/>
  <c r="B62" i="17"/>
  <c r="AU42" i="27"/>
  <c r="AU43" i="27" s="1"/>
  <c r="AW42" i="27"/>
  <c r="AW43" i="27" s="1"/>
  <c r="BE42" i="27"/>
  <c r="BE43" i="27" s="1"/>
  <c r="BA42" i="27"/>
  <c r="BA43" i="27" s="1"/>
  <c r="BW42" i="27"/>
  <c r="AQ42" i="27"/>
  <c r="AQ43" i="27" s="1"/>
  <c r="BI42" i="27"/>
  <c r="BI43" i="27" s="1"/>
  <c r="BM42" i="27"/>
  <c r="BM43" i="27" s="1"/>
  <c r="BQ42" i="27"/>
  <c r="BQ43" i="27" s="1"/>
  <c r="BS42" i="27"/>
  <c r="BS43" i="27" s="1"/>
  <c r="B60" i="33"/>
  <c r="B47" i="33"/>
  <c r="B48" i="33" s="1"/>
  <c r="B49" i="33" s="1"/>
  <c r="C50" i="33" s="1"/>
  <c r="C37" i="33"/>
  <c r="C47" i="33"/>
  <c r="C48" i="33" s="1"/>
  <c r="C49" i="33" s="1"/>
  <c r="B59" i="33"/>
  <c r="N44" i="30"/>
  <c r="N45" i="30"/>
  <c r="K33" i="23"/>
  <c r="I42" i="23"/>
  <c r="I43" i="23" s="1"/>
  <c r="Q33" i="23"/>
  <c r="G33" i="23"/>
  <c r="Y33" i="23"/>
  <c r="M33" i="23"/>
  <c r="I33" i="23"/>
  <c r="U42" i="23"/>
  <c r="U43" i="23" s="1"/>
  <c r="C42" i="23"/>
  <c r="E33" i="23"/>
  <c r="W33" i="23"/>
  <c r="O42" i="23"/>
  <c r="O43" i="23" s="1"/>
  <c r="S33" i="23"/>
  <c r="C33" i="23"/>
  <c r="U33" i="23"/>
  <c r="O33" i="23"/>
  <c r="H60" i="28"/>
  <c r="I37" i="28"/>
  <c r="H47" i="28"/>
  <c r="H48" i="28" s="1"/>
  <c r="H49" i="28" s="1"/>
  <c r="I50" i="28" s="1"/>
  <c r="H59" i="28"/>
  <c r="H63" i="28" s="1"/>
  <c r="I47" i="28"/>
  <c r="I48" i="28" s="1"/>
  <c r="I49" i="28" s="1"/>
  <c r="Q50" i="14"/>
  <c r="Q51" i="14" s="1"/>
  <c r="C38" i="21"/>
  <c r="B39" i="21"/>
  <c r="B40" i="21"/>
  <c r="P47" i="22"/>
  <c r="P48" i="22" s="1"/>
  <c r="P49" i="22" s="1"/>
  <c r="Q50" i="22" s="1"/>
  <c r="Q51" i="22" s="1"/>
  <c r="Q37" i="22"/>
  <c r="Q38" i="22" s="1"/>
  <c r="Q47" i="22"/>
  <c r="Q48" i="22" s="1"/>
  <c r="Q49" i="22" s="1"/>
  <c r="C47" i="22"/>
  <c r="C48" i="22" s="1"/>
  <c r="C49" i="22" s="1"/>
  <c r="B60" i="22"/>
  <c r="C37" i="22"/>
  <c r="B47" i="22"/>
  <c r="B48" i="22" s="1"/>
  <c r="B49" i="22" s="1"/>
  <c r="B59" i="22"/>
  <c r="X47" i="22"/>
  <c r="X48" i="22" s="1"/>
  <c r="X49" i="22" s="1"/>
  <c r="Y50" i="22" s="1"/>
  <c r="Y51" i="22" s="1"/>
  <c r="Y47" i="22"/>
  <c r="Y48" i="22" s="1"/>
  <c r="Y49" i="22" s="1"/>
  <c r="Y37" i="22"/>
  <c r="Y38" i="22" s="1"/>
  <c r="J60" i="22"/>
  <c r="K37" i="22"/>
  <c r="K38" i="22" s="1"/>
  <c r="K47" i="22"/>
  <c r="K48" i="22" s="1"/>
  <c r="K49" i="22" s="1"/>
  <c r="J47" i="22"/>
  <c r="J48" i="22" s="1"/>
  <c r="J49" i="22" s="1"/>
  <c r="J59" i="22"/>
  <c r="BI37" i="24"/>
  <c r="BI38" i="24" s="1"/>
  <c r="BH47" i="24"/>
  <c r="BH48" i="24" s="1"/>
  <c r="BH49" i="24" s="1"/>
  <c r="BI50" i="24" s="1"/>
  <c r="BI51" i="24" s="1"/>
  <c r="BI47" i="24"/>
  <c r="BI48" i="24" s="1"/>
  <c r="BI49" i="24" s="1"/>
  <c r="AS37" i="24"/>
  <c r="AS38" i="24" s="1"/>
  <c r="AR59" i="24"/>
  <c r="AS47" i="24"/>
  <c r="AS48" i="24" s="1"/>
  <c r="AS49" i="24" s="1"/>
  <c r="AR47" i="24"/>
  <c r="AR48" i="24" s="1"/>
  <c r="AR49" i="24" s="1"/>
  <c r="AR60" i="24"/>
  <c r="BS37" i="24"/>
  <c r="BS38" i="24" s="1"/>
  <c r="BS47" i="24"/>
  <c r="BS48" i="24" s="1"/>
  <c r="BS49" i="24" s="1"/>
  <c r="BR47" i="24"/>
  <c r="BR48" i="24" s="1"/>
  <c r="BR49" i="24" s="1"/>
  <c r="BM47" i="24"/>
  <c r="BM48" i="24" s="1"/>
  <c r="BM49" i="24" s="1"/>
  <c r="BM37" i="24"/>
  <c r="BM38" i="24" s="1"/>
  <c r="BL60" i="24"/>
  <c r="BL47" i="24"/>
  <c r="BL48" i="24" s="1"/>
  <c r="BL49" i="24" s="1"/>
  <c r="BL59" i="24"/>
  <c r="BE37" i="24"/>
  <c r="BE38" i="24" s="1"/>
  <c r="BD59" i="24"/>
  <c r="BD60" i="24"/>
  <c r="BD47" i="24"/>
  <c r="BD48" i="24" s="1"/>
  <c r="BD49" i="24" s="1"/>
  <c r="BE47" i="24"/>
  <c r="BE48" i="24" s="1"/>
  <c r="BE49" i="24" s="1"/>
  <c r="AY47" i="24"/>
  <c r="AY48" i="24" s="1"/>
  <c r="AY49" i="24" s="1"/>
  <c r="AX47" i="24"/>
  <c r="AX48" i="24" s="1"/>
  <c r="AX49" i="24" s="1"/>
  <c r="AX59" i="24"/>
  <c r="AY37" i="24"/>
  <c r="AY38" i="24" s="1"/>
  <c r="AX60" i="24"/>
  <c r="BB47" i="24"/>
  <c r="BB48" i="24" s="1"/>
  <c r="BB49" i="24" s="1"/>
  <c r="BC37" i="24"/>
  <c r="BC38" i="24" s="1"/>
  <c r="BC47" i="24"/>
  <c r="BC48" i="24" s="1"/>
  <c r="BC49" i="24" s="1"/>
  <c r="G37" i="24"/>
  <c r="G38" i="24" s="1"/>
  <c r="F47" i="24"/>
  <c r="F48" i="24" s="1"/>
  <c r="F49" i="24" s="1"/>
  <c r="G47" i="24"/>
  <c r="G48" i="24" s="1"/>
  <c r="G49" i="24" s="1"/>
  <c r="C36" i="20"/>
  <c r="Q30" i="20"/>
  <c r="C30" i="20"/>
  <c r="AA30" i="20"/>
  <c r="AS30" i="20"/>
  <c r="Q36" i="20"/>
  <c r="AM36" i="20"/>
  <c r="U30" i="20"/>
  <c r="E30" i="20"/>
  <c r="AM30" i="20"/>
  <c r="G30" i="20"/>
  <c r="AC30" i="20"/>
  <c r="U36" i="20"/>
  <c r="W30" i="20"/>
  <c r="AK30" i="20"/>
  <c r="AA36" i="20"/>
  <c r="AG30" i="20"/>
  <c r="S30" i="20"/>
  <c r="I36" i="20"/>
  <c r="AU30" i="20"/>
  <c r="K30" i="20"/>
  <c r="AI36" i="20"/>
  <c r="AE36" i="20"/>
  <c r="O30" i="20"/>
  <c r="AQ36" i="20"/>
  <c r="M36" i="20"/>
  <c r="AO30" i="20"/>
  <c r="Y30" i="20"/>
  <c r="I30" i="20"/>
  <c r="AI30" i="20"/>
  <c r="M30" i="20"/>
  <c r="AQ30" i="20"/>
  <c r="AE30" i="20"/>
  <c r="B44" i="20"/>
  <c r="B45" i="20"/>
  <c r="G37" i="14"/>
  <c r="G38" i="14" s="1"/>
  <c r="G47" i="14"/>
  <c r="G48" i="14" s="1"/>
  <c r="G49" i="14" s="1"/>
  <c r="F47" i="14"/>
  <c r="F48" i="14" s="1"/>
  <c r="F49" i="14" s="1"/>
  <c r="S33" i="17"/>
  <c r="Q33" i="17"/>
  <c r="AA33" i="17"/>
  <c r="Q42" i="17"/>
  <c r="Q43" i="17" s="1"/>
  <c r="O33" i="17"/>
  <c r="M42" i="17"/>
  <c r="M43" i="17" s="1"/>
  <c r="W33" i="17"/>
  <c r="M33" i="17"/>
  <c r="Q47" i="15"/>
  <c r="Q48" i="15" s="1"/>
  <c r="Q49" i="15" s="1"/>
  <c r="P47" i="15"/>
  <c r="P48" i="15" s="1"/>
  <c r="P49" i="15" s="1"/>
  <c r="Q50" i="15" s="1"/>
  <c r="Q51" i="15" s="1"/>
  <c r="Q37" i="15"/>
  <c r="Q38" i="15" s="1"/>
  <c r="I37" i="23"/>
  <c r="S30" i="16"/>
  <c r="C36" i="16"/>
  <c r="G36" i="16"/>
  <c r="O30" i="16"/>
  <c r="E30" i="16"/>
  <c r="Q36" i="16"/>
  <c r="K36" i="16"/>
  <c r="M36" i="16"/>
  <c r="I30" i="16"/>
  <c r="C30" i="16"/>
  <c r="K30" i="16"/>
  <c r="Q30" i="16"/>
  <c r="M30" i="16"/>
  <c r="G30" i="16"/>
  <c r="O36" i="32"/>
  <c r="C36" i="32"/>
  <c r="K30" i="32"/>
  <c r="Q30" i="32"/>
  <c r="C30" i="32"/>
  <c r="E36" i="32"/>
  <c r="G30" i="32"/>
  <c r="I36" i="32"/>
  <c r="I30" i="32"/>
  <c r="O30" i="32"/>
  <c r="E30" i="32"/>
  <c r="M36" i="32"/>
  <c r="C37" i="8"/>
  <c r="C47" i="8"/>
  <c r="C48" i="8" s="1"/>
  <c r="C49" i="8" s="1"/>
  <c r="B47" i="8"/>
  <c r="B48" i="8" s="1"/>
  <c r="B49" i="8" s="1"/>
  <c r="C50" i="8" s="1"/>
  <c r="BI43" i="24"/>
  <c r="BD61" i="24"/>
  <c r="BD62" i="24"/>
  <c r="J59" i="24"/>
  <c r="K47" i="24"/>
  <c r="K48" i="24" s="1"/>
  <c r="K49" i="24" s="1"/>
  <c r="K37" i="24"/>
  <c r="K38" i="24" s="1"/>
  <c r="J60" i="24"/>
  <c r="J47" i="24"/>
  <c r="J48" i="24" s="1"/>
  <c r="J49" i="24" s="1"/>
  <c r="K50" i="24" s="1"/>
  <c r="B54" i="29"/>
  <c r="B55" i="29"/>
  <c r="B53" i="29"/>
  <c r="C51" i="29"/>
  <c r="J44" i="30"/>
  <c r="J45" i="30"/>
  <c r="H44" i="20"/>
  <c r="H45" i="20"/>
  <c r="C37" i="28"/>
  <c r="C47" i="28"/>
  <c r="C48" i="28" s="1"/>
  <c r="C49" i="28" s="1"/>
  <c r="B47" i="28"/>
  <c r="B48" i="28" s="1"/>
  <c r="B49" i="28" s="1"/>
  <c r="C50" i="28" s="1"/>
  <c r="D47" i="28"/>
  <c r="D48" i="28" s="1"/>
  <c r="D49" i="28" s="1"/>
  <c r="E50" i="28" s="1"/>
  <c r="E51" i="28" s="1"/>
  <c r="E47" i="28"/>
  <c r="E48" i="28" s="1"/>
  <c r="E49" i="28" s="1"/>
  <c r="E37" i="28"/>
  <c r="E38" i="28" s="1"/>
  <c r="BW43" i="24"/>
  <c r="BV61" i="24"/>
  <c r="BV62" i="24"/>
  <c r="S37" i="22"/>
  <c r="S38" i="22" s="1"/>
  <c r="R47" i="22"/>
  <c r="R48" i="22" s="1"/>
  <c r="R49" i="22" s="1"/>
  <c r="S50" i="22" s="1"/>
  <c r="S47" i="22"/>
  <c r="S48" i="22" s="1"/>
  <c r="S49" i="22" s="1"/>
  <c r="AH47" i="24"/>
  <c r="AH48" i="24" s="1"/>
  <c r="AH49" i="24" s="1"/>
  <c r="AH59" i="24"/>
  <c r="AH60" i="24"/>
  <c r="AI47" i="24"/>
  <c r="AI48" i="24" s="1"/>
  <c r="AI49" i="24" s="1"/>
  <c r="AI37" i="24"/>
  <c r="AI38" i="24" s="1"/>
  <c r="Q37" i="24"/>
  <c r="Q38" i="24" s="1"/>
  <c r="P47" i="24"/>
  <c r="P48" i="24" s="1"/>
  <c r="P49" i="24" s="1"/>
  <c r="Q50" i="24" s="1"/>
  <c r="Q51" i="24" s="1"/>
  <c r="Q47" i="24"/>
  <c r="Q48" i="24" s="1"/>
  <c r="Q49" i="24" s="1"/>
  <c r="AW47" i="24"/>
  <c r="AW48" i="24" s="1"/>
  <c r="AW49" i="24" s="1"/>
  <c r="AV47" i="24"/>
  <c r="AV48" i="24" s="1"/>
  <c r="AV49" i="24" s="1"/>
  <c r="AW50" i="24" s="1"/>
  <c r="AW51" i="24" s="1"/>
  <c r="AW37" i="24"/>
  <c r="AW38" i="24" s="1"/>
  <c r="X47" i="24"/>
  <c r="X48" i="24" s="1"/>
  <c r="X49" i="24" s="1"/>
  <c r="Y50" i="24" s="1"/>
  <c r="Y51" i="24" s="1"/>
  <c r="Y47" i="24"/>
  <c r="Y48" i="24" s="1"/>
  <c r="Y49" i="24" s="1"/>
  <c r="Y37" i="24"/>
  <c r="Y38" i="24" s="1"/>
  <c r="AM43" i="27"/>
  <c r="B45" i="24"/>
  <c r="B44" i="24"/>
  <c r="C30" i="4"/>
  <c r="I36" i="12"/>
  <c r="G36" i="12"/>
  <c r="O16" i="12"/>
  <c r="G30" i="12"/>
  <c r="Q36" i="12"/>
  <c r="Q30" i="12"/>
  <c r="M30" i="12"/>
  <c r="M16" i="12"/>
  <c r="I30" i="12"/>
  <c r="O30" i="12"/>
  <c r="E36" i="12"/>
  <c r="C36" i="12"/>
  <c r="K36" i="12"/>
  <c r="C30" i="12"/>
  <c r="E30" i="12"/>
  <c r="K30" i="12"/>
  <c r="L45" i="20"/>
  <c r="L44" i="20"/>
  <c r="O30" i="34"/>
  <c r="N30" i="34" s="1"/>
  <c r="O36" i="34"/>
  <c r="E30" i="34"/>
  <c r="C36" i="34"/>
  <c r="Q30" i="34"/>
  <c r="M30" i="34"/>
  <c r="K36" i="34"/>
  <c r="G36" i="34"/>
  <c r="K30" i="34"/>
  <c r="I30" i="34"/>
  <c r="C30" i="34"/>
  <c r="G30" i="34"/>
  <c r="AH62" i="24"/>
  <c r="AH61" i="24"/>
  <c r="AI43" i="24"/>
  <c r="B47" i="14"/>
  <c r="B48" i="14" s="1"/>
  <c r="B49" i="14" s="1"/>
  <c r="C50" i="14" s="1"/>
  <c r="C37" i="14"/>
  <c r="B59" i="14"/>
  <c r="C47" i="14"/>
  <c r="C48" i="14" s="1"/>
  <c r="C49" i="14" s="1"/>
  <c r="B60" i="14"/>
  <c r="C23" i="4"/>
  <c r="B61" i="20"/>
  <c r="AR61" i="24"/>
  <c r="AS43" i="24"/>
  <c r="AR62" i="24"/>
  <c r="X47" i="14"/>
  <c r="X48" i="14" s="1"/>
  <c r="X49" i="14" s="1"/>
  <c r="Y50" i="14" s="1"/>
  <c r="Y51" i="14" s="1"/>
  <c r="Y37" i="14"/>
  <c r="Y38" i="14" s="1"/>
  <c r="Y47" i="14"/>
  <c r="Y48" i="14" s="1"/>
  <c r="Y49" i="14" s="1"/>
  <c r="B47" i="15"/>
  <c r="B48" i="15" s="1"/>
  <c r="B49" i="15" s="1"/>
  <c r="C50" i="15" s="1"/>
  <c r="C47" i="15"/>
  <c r="C48" i="15" s="1"/>
  <c r="C49" i="15" s="1"/>
  <c r="C37" i="15"/>
  <c r="M50" i="14"/>
  <c r="B47" i="23"/>
  <c r="B48" i="23" s="1"/>
  <c r="B49" i="23" s="1"/>
  <c r="C50" i="23" s="1"/>
  <c r="C37" i="23"/>
  <c r="C47" i="23"/>
  <c r="C48" i="23" s="1"/>
  <c r="C49" i="23" s="1"/>
  <c r="B60" i="23"/>
  <c r="B59" i="23"/>
  <c r="U37" i="30"/>
  <c r="U47" i="30"/>
  <c r="U48" i="30" s="1"/>
  <c r="U49" i="30" s="1"/>
  <c r="V36" i="30"/>
  <c r="T47" i="30"/>
  <c r="T48" i="30" s="1"/>
  <c r="T49" i="30" s="1"/>
  <c r="U50" i="30" s="1"/>
  <c r="S37" i="30"/>
  <c r="R47" i="30"/>
  <c r="R48" i="30" s="1"/>
  <c r="R49" i="30" s="1"/>
  <c r="S47" i="30"/>
  <c r="S48" i="30" s="1"/>
  <c r="S49" i="30" s="1"/>
  <c r="H44" i="28"/>
  <c r="H45" i="28"/>
  <c r="X45" i="19"/>
  <c r="X44" i="19"/>
  <c r="J45" i="33"/>
  <c r="J44" i="33"/>
  <c r="B30" i="31"/>
  <c r="F36" i="31" s="1"/>
  <c r="BJ62" i="24"/>
  <c r="BK43" i="24"/>
  <c r="BJ61" i="24"/>
  <c r="AP45" i="20"/>
  <c r="AP44" i="20"/>
  <c r="K43" i="24"/>
  <c r="J62" i="24"/>
  <c r="J61" i="24"/>
  <c r="B39" i="29"/>
  <c r="C38" i="29"/>
  <c r="B40" i="29"/>
  <c r="W33" i="4"/>
  <c r="S42" i="4"/>
  <c r="S43" i="4" s="1"/>
  <c r="Q33" i="4"/>
  <c r="W42" i="4"/>
  <c r="W43" i="4" s="1"/>
  <c r="O33" i="4"/>
  <c r="Q42" i="4"/>
  <c r="Q43" i="4" s="1"/>
  <c r="O42" i="4"/>
  <c r="O43" i="4" s="1"/>
  <c r="U42" i="4"/>
  <c r="U43" i="4" s="1"/>
  <c r="M33" i="4"/>
  <c r="E42" i="4"/>
  <c r="E43" i="4" s="1"/>
  <c r="E33" i="4"/>
  <c r="B32" i="4" s="1"/>
  <c r="X42" i="4" s="1"/>
  <c r="M42" i="4"/>
  <c r="M43" i="4" s="1"/>
  <c r="S33" i="4"/>
  <c r="U33" i="4"/>
  <c r="I42" i="4"/>
  <c r="I43" i="4" s="1"/>
  <c r="K42" i="4"/>
  <c r="K43" i="4" s="1"/>
  <c r="G42" i="4"/>
  <c r="G43" i="4" s="1"/>
  <c r="C42" i="4"/>
  <c r="C43" i="4" s="1"/>
  <c r="G33" i="4"/>
  <c r="K33" i="4"/>
  <c r="I33" i="4"/>
  <c r="S50" i="14"/>
  <c r="S51" i="14" s="1"/>
  <c r="BI29" i="27"/>
  <c r="W37" i="33"/>
  <c r="W47" i="33"/>
  <c r="W48" i="33" s="1"/>
  <c r="W49" i="33" s="1"/>
  <c r="V47" i="33"/>
  <c r="V48" i="33" s="1"/>
  <c r="V49" i="33" s="1"/>
  <c r="W50" i="33" s="1"/>
  <c r="J30" i="33"/>
  <c r="H45" i="30"/>
  <c r="H44" i="30"/>
  <c r="H33" i="30"/>
  <c r="T33" i="30"/>
  <c r="V42" i="30" s="1"/>
  <c r="T44" i="30"/>
  <c r="T45" i="30"/>
  <c r="R45" i="30"/>
  <c r="R44" i="30"/>
  <c r="AA33" i="26"/>
  <c r="O33" i="26"/>
  <c r="Q33" i="26"/>
  <c r="I33" i="26"/>
  <c r="G42" i="26"/>
  <c r="G43" i="26" s="1"/>
  <c r="K42" i="26"/>
  <c r="Y33" i="26"/>
  <c r="G33" i="26"/>
  <c r="R61" i="24"/>
  <c r="S43" i="24"/>
  <c r="R62" i="24"/>
  <c r="J44" i="34"/>
  <c r="J45" i="34"/>
  <c r="M37" i="28"/>
  <c r="M38" i="28" s="1"/>
  <c r="M47" i="28"/>
  <c r="M48" i="28" s="1"/>
  <c r="M49" i="28" s="1"/>
  <c r="L47" i="28"/>
  <c r="L48" i="28" s="1"/>
  <c r="L49" i="28" s="1"/>
  <c r="M50" i="28" s="1"/>
  <c r="M51" i="28" s="1"/>
  <c r="P59" i="28"/>
  <c r="P63" i="28" s="1"/>
  <c r="P47" i="28"/>
  <c r="P48" i="28" s="1"/>
  <c r="P49" i="28" s="1"/>
  <c r="Q47" i="28"/>
  <c r="Q48" i="28" s="1"/>
  <c r="Q49" i="28" s="1"/>
  <c r="Q37" i="28"/>
  <c r="Q38" i="28" s="1"/>
  <c r="P60" i="28"/>
  <c r="S37" i="28"/>
  <c r="S38" i="28" s="1"/>
  <c r="R47" i="28"/>
  <c r="R48" i="28" s="1"/>
  <c r="R49" i="28" s="1"/>
  <c r="S47" i="28"/>
  <c r="S48" i="28" s="1"/>
  <c r="S49" i="28" s="1"/>
  <c r="B29" i="22"/>
  <c r="T36" i="22" s="1"/>
  <c r="G37" i="22"/>
  <c r="G38" i="22" s="1"/>
  <c r="F47" i="22"/>
  <c r="F48" i="22" s="1"/>
  <c r="F49" i="22" s="1"/>
  <c r="G47" i="22"/>
  <c r="G48" i="22" s="1"/>
  <c r="G49" i="22" s="1"/>
  <c r="U37" i="24"/>
  <c r="U38" i="24" s="1"/>
  <c r="T47" i="24"/>
  <c r="T48" i="24" s="1"/>
  <c r="T49" i="24" s="1"/>
  <c r="U47" i="24"/>
  <c r="U48" i="24" s="1"/>
  <c r="U49" i="24" s="1"/>
  <c r="AE37" i="24"/>
  <c r="AE38" i="24" s="1"/>
  <c r="AE47" i="24"/>
  <c r="AE48" i="24" s="1"/>
  <c r="AE49" i="24" s="1"/>
  <c r="AD47" i="24"/>
  <c r="AD48" i="24" s="1"/>
  <c r="AD49" i="24" s="1"/>
  <c r="AA37" i="24"/>
  <c r="AA38" i="24" s="1"/>
  <c r="Z47" i="24"/>
  <c r="Z48" i="24" s="1"/>
  <c r="Z49" i="24" s="1"/>
  <c r="AA50" i="24" s="1"/>
  <c r="AA51" i="24" s="1"/>
  <c r="AA47" i="24"/>
  <c r="AA48" i="24" s="1"/>
  <c r="AA49" i="24" s="1"/>
  <c r="V47" i="24"/>
  <c r="V48" i="24" s="1"/>
  <c r="V49" i="24" s="1"/>
  <c r="W37" i="24"/>
  <c r="W38" i="24" s="1"/>
  <c r="W47" i="24"/>
  <c r="W48" i="24" s="1"/>
  <c r="W49" i="24" s="1"/>
  <c r="AC47" i="24"/>
  <c r="AC48" i="24" s="1"/>
  <c r="AC49" i="24" s="1"/>
  <c r="AC37" i="24"/>
  <c r="AC38" i="24" s="1"/>
  <c r="AB47" i="24"/>
  <c r="AB48" i="24" s="1"/>
  <c r="AB49" i="24" s="1"/>
  <c r="R60" i="24"/>
  <c r="S37" i="24"/>
  <c r="S38" i="24" s="1"/>
  <c r="S47" i="24"/>
  <c r="S48" i="24" s="1"/>
  <c r="S49" i="24" s="1"/>
  <c r="R59" i="24"/>
  <c r="R47" i="24"/>
  <c r="R48" i="24" s="1"/>
  <c r="R49" i="24" s="1"/>
  <c r="S50" i="24" s="1"/>
  <c r="N36" i="37"/>
  <c r="J60" i="37"/>
  <c r="J59" i="37"/>
  <c r="K47" i="37"/>
  <c r="K48" i="37" s="1"/>
  <c r="K49" i="37" s="1"/>
  <c r="J47" i="37"/>
  <c r="J48" i="37" s="1"/>
  <c r="J49" i="37" s="1"/>
  <c r="K37" i="37"/>
  <c r="L60" i="37"/>
  <c r="L59" i="37"/>
  <c r="M47" i="37"/>
  <c r="M48" i="37" s="1"/>
  <c r="M49" i="37" s="1"/>
  <c r="L47" i="37"/>
  <c r="L48" i="37" s="1"/>
  <c r="L49" i="37" s="1"/>
  <c r="M37" i="37"/>
  <c r="G60" i="37"/>
  <c r="G59" i="37"/>
  <c r="F40" i="37"/>
  <c r="F39" i="37"/>
  <c r="G38" i="37"/>
  <c r="F55" i="37"/>
  <c r="F54" i="37"/>
  <c r="F53" i="37"/>
  <c r="G51" i="37"/>
  <c r="E30" i="37"/>
  <c r="C30" i="37"/>
  <c r="B45" i="37"/>
  <c r="B44" i="37"/>
  <c r="I30" i="36"/>
  <c r="G36" i="36"/>
  <c r="G30" i="36"/>
  <c r="F45" i="36"/>
  <c r="F44" i="36"/>
  <c r="E30" i="36"/>
  <c r="C36" i="36"/>
  <c r="C30" i="36"/>
  <c r="B30" i="36" s="1"/>
  <c r="B45" i="36"/>
  <c r="B44" i="36"/>
  <c r="AO30" i="35"/>
  <c r="AM36" i="35"/>
  <c r="AK30" i="35"/>
  <c r="AI36" i="35"/>
  <c r="AG30" i="35"/>
  <c r="AM30" i="35"/>
  <c r="AL30" i="35" s="1"/>
  <c r="AI30" i="35"/>
  <c r="AH30" i="35" s="1"/>
  <c r="AH45" i="35"/>
  <c r="AH44" i="35"/>
  <c r="AE36" i="35"/>
  <c r="AC30" i="35"/>
  <c r="AE30" i="35"/>
  <c r="Y30" i="35"/>
  <c r="AA36" i="35"/>
  <c r="AA30" i="35"/>
  <c r="Z30" i="35" s="1"/>
  <c r="W36" i="35"/>
  <c r="W30" i="35"/>
  <c r="V30" i="35" s="1"/>
  <c r="Q30" i="35"/>
  <c r="U30" i="35"/>
  <c r="S36" i="35"/>
  <c r="S30" i="35"/>
  <c r="M30" i="35"/>
  <c r="O36" i="35"/>
  <c r="O30" i="35"/>
  <c r="J45" i="35"/>
  <c r="J44" i="35"/>
  <c r="H45" i="35"/>
  <c r="H44" i="35"/>
  <c r="K36" i="35"/>
  <c r="K30" i="35"/>
  <c r="J30" i="35" s="1"/>
  <c r="G30" i="35"/>
  <c r="I36" i="35"/>
  <c r="I30" i="35"/>
  <c r="E30" i="35"/>
  <c r="C36" i="35"/>
  <c r="F36" i="35" s="1"/>
  <c r="C30" i="35"/>
  <c r="U51" i="30" l="1"/>
  <c r="T55" i="30"/>
  <c r="T53" i="30"/>
  <c r="T54" i="30"/>
  <c r="AQ37" i="20"/>
  <c r="AP47" i="20"/>
  <c r="AP48" i="20" s="1"/>
  <c r="AP49" i="20" s="1"/>
  <c r="AP59" i="20"/>
  <c r="AP60" i="20"/>
  <c r="AQ47" i="20"/>
  <c r="AQ48" i="20" s="1"/>
  <c r="AQ49" i="20" s="1"/>
  <c r="U37" i="20"/>
  <c r="U38" i="20" s="1"/>
  <c r="U47" i="20"/>
  <c r="U48" i="20" s="1"/>
  <c r="U49" i="20" s="1"/>
  <c r="T47" i="20"/>
  <c r="T48" i="20" s="1"/>
  <c r="T49" i="20" s="1"/>
  <c r="U50" i="20" s="1"/>
  <c r="U51" i="20" s="1"/>
  <c r="I38" i="28"/>
  <c r="H40" i="28"/>
  <c r="H39" i="28"/>
  <c r="H44" i="23"/>
  <c r="H45" i="23"/>
  <c r="BP45" i="27"/>
  <c r="BP44" i="27"/>
  <c r="AC37" i="19"/>
  <c r="AC38" i="19" s="1"/>
  <c r="AB47" i="19"/>
  <c r="AB48" i="19" s="1"/>
  <c r="AB49" i="19" s="1"/>
  <c r="AC50" i="19" s="1"/>
  <c r="AC51" i="19" s="1"/>
  <c r="AC47" i="19"/>
  <c r="AC48" i="19" s="1"/>
  <c r="AC49" i="19" s="1"/>
  <c r="AG37" i="19"/>
  <c r="AG38" i="19" s="1"/>
  <c r="AF47" i="19"/>
  <c r="AF48" i="19" s="1"/>
  <c r="AF49" i="19" s="1"/>
  <c r="AG50" i="19" s="1"/>
  <c r="AG51" i="19" s="1"/>
  <c r="AG47" i="19"/>
  <c r="AG48" i="19" s="1"/>
  <c r="AG49" i="19" s="1"/>
  <c r="B39" i="30"/>
  <c r="C38" i="30"/>
  <c r="B40" i="30"/>
  <c r="H44" i="32"/>
  <c r="H45" i="32"/>
  <c r="O37" i="26"/>
  <c r="O38" i="26" s="1"/>
  <c r="N47" i="26"/>
  <c r="N48" i="26" s="1"/>
  <c r="N49" i="26" s="1"/>
  <c r="O50" i="26" s="1"/>
  <c r="O51" i="26" s="1"/>
  <c r="O47" i="26"/>
  <c r="O48" i="26" s="1"/>
  <c r="O49" i="26" s="1"/>
  <c r="H47" i="4"/>
  <c r="H48" i="4" s="1"/>
  <c r="H49" i="4" s="1"/>
  <c r="I50" i="4" s="1"/>
  <c r="I51" i="4" s="1"/>
  <c r="I47" i="4"/>
  <c r="I48" i="4" s="1"/>
  <c r="I49" i="4" s="1"/>
  <c r="I37" i="4"/>
  <c r="I38" i="4" s="1"/>
  <c r="D40" i="31"/>
  <c r="E38" i="31"/>
  <c r="D39" i="31"/>
  <c r="B44" i="14"/>
  <c r="B45" i="14"/>
  <c r="AG38" i="24"/>
  <c r="AF40" i="24"/>
  <c r="AF39" i="24"/>
  <c r="F40" i="33"/>
  <c r="F39" i="33"/>
  <c r="G38" i="33"/>
  <c r="C51" i="31"/>
  <c r="B53" i="31"/>
  <c r="B54" i="31"/>
  <c r="B55" i="31"/>
  <c r="T40" i="23"/>
  <c r="U38" i="23"/>
  <c r="T39" i="23"/>
  <c r="G37" i="17"/>
  <c r="G38" i="17" s="1"/>
  <c r="G47" i="17"/>
  <c r="G48" i="17" s="1"/>
  <c r="G49" i="17" s="1"/>
  <c r="F47" i="17"/>
  <c r="F48" i="17" s="1"/>
  <c r="F49" i="17" s="1"/>
  <c r="R30" i="35"/>
  <c r="F30" i="36"/>
  <c r="AC50" i="24"/>
  <c r="AC51" i="24" s="1"/>
  <c r="G50" i="22"/>
  <c r="G51" i="22" s="1"/>
  <c r="S50" i="28"/>
  <c r="S51" i="28" s="1"/>
  <c r="V55" i="33"/>
  <c r="W51" i="33"/>
  <c r="V53" i="33"/>
  <c r="V54" i="33"/>
  <c r="B45" i="4"/>
  <c r="B44" i="4"/>
  <c r="L55" i="14"/>
  <c r="M51" i="14"/>
  <c r="L53" i="14"/>
  <c r="L54" i="14"/>
  <c r="C51" i="14"/>
  <c r="F47" i="34"/>
  <c r="F48" i="34" s="1"/>
  <c r="F49" i="34" s="1"/>
  <c r="G47" i="34"/>
  <c r="G48" i="34" s="1"/>
  <c r="G49" i="34" s="1"/>
  <c r="G37" i="34"/>
  <c r="B60" i="34"/>
  <c r="B59" i="34"/>
  <c r="C47" i="34"/>
  <c r="C48" i="34" s="1"/>
  <c r="C49" i="34" s="1"/>
  <c r="B47" i="34"/>
  <c r="B48" i="34" s="1"/>
  <c r="B49" i="34" s="1"/>
  <c r="C37" i="34"/>
  <c r="G37" i="12"/>
  <c r="G38" i="12" s="1"/>
  <c r="C51" i="28"/>
  <c r="B54" i="28"/>
  <c r="B55" i="28"/>
  <c r="B53" i="28"/>
  <c r="N30" i="32"/>
  <c r="L30" i="32" s="1"/>
  <c r="D47" i="32"/>
  <c r="D48" i="32" s="1"/>
  <c r="D49" i="32" s="1"/>
  <c r="E50" i="32" s="1"/>
  <c r="E37" i="32"/>
  <c r="E47" i="32"/>
  <c r="E48" i="32" s="1"/>
  <c r="E49" i="32" s="1"/>
  <c r="C37" i="32"/>
  <c r="B47" i="32"/>
  <c r="B48" i="32" s="1"/>
  <c r="B49" i="32" s="1"/>
  <c r="C50" i="32" s="1"/>
  <c r="C47" i="32"/>
  <c r="C48" i="32" s="1"/>
  <c r="C49" i="32" s="1"/>
  <c r="M37" i="16"/>
  <c r="M38" i="16" s="1"/>
  <c r="L47" i="16"/>
  <c r="L48" i="16" s="1"/>
  <c r="L49" i="16" s="1"/>
  <c r="M50" i="16" s="1"/>
  <c r="M51" i="16" s="1"/>
  <c r="M47" i="16"/>
  <c r="M48" i="16" s="1"/>
  <c r="M49" i="16" s="1"/>
  <c r="H47" i="23"/>
  <c r="H48" i="23" s="1"/>
  <c r="H49" i="23" s="1"/>
  <c r="L45" i="17"/>
  <c r="L44" i="17"/>
  <c r="AA37" i="20"/>
  <c r="Z47" i="20"/>
  <c r="Z48" i="20" s="1"/>
  <c r="Z49" i="20" s="1"/>
  <c r="AA47" i="20"/>
  <c r="AA48" i="20" s="1"/>
  <c r="AA49" i="20" s="1"/>
  <c r="BE50" i="24"/>
  <c r="B61" i="23"/>
  <c r="C43" i="23"/>
  <c r="B62" i="23"/>
  <c r="BL44" i="27"/>
  <c r="BL45" i="27"/>
  <c r="U37" i="19"/>
  <c r="U38" i="19" s="1"/>
  <c r="T47" i="19"/>
  <c r="T48" i="19" s="1"/>
  <c r="T49" i="19" s="1"/>
  <c r="U47" i="19"/>
  <c r="U48" i="19" s="1"/>
  <c r="U49" i="19" s="1"/>
  <c r="I50" i="30"/>
  <c r="L44" i="32"/>
  <c r="L45" i="32"/>
  <c r="N33" i="32"/>
  <c r="L33" i="32" s="1"/>
  <c r="P42" i="32" s="1"/>
  <c r="N45" i="32"/>
  <c r="N44" i="32"/>
  <c r="K50" i="15"/>
  <c r="K51" i="15" s="1"/>
  <c r="G47" i="26"/>
  <c r="G48" i="26" s="1"/>
  <c r="G49" i="26" s="1"/>
  <c r="G37" i="26"/>
  <c r="G38" i="26" s="1"/>
  <c r="F47" i="26"/>
  <c r="F48" i="26" s="1"/>
  <c r="F49" i="26" s="1"/>
  <c r="Y47" i="26"/>
  <c r="Y48" i="26" s="1"/>
  <c r="Y49" i="26" s="1"/>
  <c r="X47" i="26"/>
  <c r="X48" i="26" s="1"/>
  <c r="X49" i="26" s="1"/>
  <c r="Y50" i="26" s="1"/>
  <c r="Y51" i="26" s="1"/>
  <c r="Y37" i="26"/>
  <c r="Y38" i="26" s="1"/>
  <c r="T47" i="4"/>
  <c r="T48" i="4" s="1"/>
  <c r="T49" i="4" s="1"/>
  <c r="U47" i="4"/>
  <c r="U48" i="4" s="1"/>
  <c r="U49" i="4" s="1"/>
  <c r="U37" i="4"/>
  <c r="U38" i="4" s="1"/>
  <c r="V47" i="4"/>
  <c r="V48" i="4" s="1"/>
  <c r="V49" i="4" s="1"/>
  <c r="W37" i="4"/>
  <c r="W38" i="4" s="1"/>
  <c r="W47" i="4"/>
  <c r="W48" i="4" s="1"/>
  <c r="W49" i="4" s="1"/>
  <c r="BW51" i="24"/>
  <c r="BV55" i="24"/>
  <c r="AM50" i="24"/>
  <c r="AM51" i="24" s="1"/>
  <c r="K60" i="33"/>
  <c r="J39" i="33"/>
  <c r="K38" i="33"/>
  <c r="J40" i="33"/>
  <c r="K59" i="33"/>
  <c r="S60" i="33"/>
  <c r="S59" i="33"/>
  <c r="R40" i="33"/>
  <c r="R39" i="33"/>
  <c r="S38" i="33"/>
  <c r="D54" i="31"/>
  <c r="D55" i="31"/>
  <c r="D53" i="31"/>
  <c r="E51" i="31"/>
  <c r="BQ50" i="24"/>
  <c r="BQ51" i="24" s="1"/>
  <c r="N40" i="33"/>
  <c r="N39" i="33"/>
  <c r="O38" i="33"/>
  <c r="Y43" i="17"/>
  <c r="T62" i="17"/>
  <c r="T61" i="17"/>
  <c r="B60" i="31"/>
  <c r="B59" i="31"/>
  <c r="B39" i="31"/>
  <c r="B40" i="31"/>
  <c r="C38" i="31"/>
  <c r="B61" i="26"/>
  <c r="H30" i="30"/>
  <c r="F30" i="30" s="1"/>
  <c r="Q37" i="17"/>
  <c r="Q38" i="17" s="1"/>
  <c r="Q47" i="17"/>
  <c r="Q48" i="17" s="1"/>
  <c r="Q49" i="17" s="1"/>
  <c r="P47" i="17"/>
  <c r="P48" i="17" s="1"/>
  <c r="P49" i="17" s="1"/>
  <c r="Q50" i="17" s="1"/>
  <c r="Q51" i="17" s="1"/>
  <c r="U47" i="17"/>
  <c r="U48" i="17" s="1"/>
  <c r="U49" i="17" s="1"/>
  <c r="T60" i="17"/>
  <c r="T47" i="17"/>
  <c r="T48" i="17" s="1"/>
  <c r="T49" i="17" s="1"/>
  <c r="T59" i="17"/>
  <c r="T63" i="17" s="1"/>
  <c r="U37" i="17"/>
  <c r="U38" i="17" s="1"/>
  <c r="C39" i="29"/>
  <c r="C40" i="29"/>
  <c r="B56" i="15"/>
  <c r="B53" i="15"/>
  <c r="C51" i="15"/>
  <c r="B54" i="15"/>
  <c r="B55" i="15"/>
  <c r="B40" i="14"/>
  <c r="C38" i="14"/>
  <c r="B39" i="14"/>
  <c r="E37" i="12"/>
  <c r="E38" i="12" s="1"/>
  <c r="O18" i="12"/>
  <c r="N18" i="12"/>
  <c r="O27" i="12"/>
  <c r="O31" i="12" s="1"/>
  <c r="R54" i="22"/>
  <c r="R53" i="22"/>
  <c r="R55" i="22"/>
  <c r="S51" i="22"/>
  <c r="B54" i="8"/>
  <c r="D31" i="11" s="1"/>
  <c r="C51" i="8"/>
  <c r="B59" i="20"/>
  <c r="B63" i="20" s="1"/>
  <c r="C47" i="20"/>
  <c r="C48" i="20" s="1"/>
  <c r="C49" i="20" s="1"/>
  <c r="B60" i="20"/>
  <c r="C37" i="20"/>
  <c r="B47" i="20"/>
  <c r="B48" i="20" s="1"/>
  <c r="B49" i="20" s="1"/>
  <c r="B55" i="33"/>
  <c r="C51" i="33"/>
  <c r="B53" i="33"/>
  <c r="B54" i="33"/>
  <c r="BV61" i="27"/>
  <c r="BV62" i="27"/>
  <c r="BW43" i="27"/>
  <c r="J39" i="30"/>
  <c r="J40" i="30"/>
  <c r="K38" i="30"/>
  <c r="C37" i="26"/>
  <c r="B60" i="26"/>
  <c r="B59" i="26"/>
  <c r="B47" i="26"/>
  <c r="B48" i="26" s="1"/>
  <c r="B49" i="26" s="1"/>
  <c r="C47" i="26"/>
  <c r="C48" i="26" s="1"/>
  <c r="C49" i="26" s="1"/>
  <c r="P47" i="4"/>
  <c r="P48" i="4" s="1"/>
  <c r="P49" i="4" s="1"/>
  <c r="Q50" i="4" s="1"/>
  <c r="Q51" i="4" s="1"/>
  <c r="Q47" i="4"/>
  <c r="Q48" i="4" s="1"/>
  <c r="Q49" i="4" s="1"/>
  <c r="Q37" i="4"/>
  <c r="Q38" i="4" s="1"/>
  <c r="F53" i="30"/>
  <c r="F54" i="30"/>
  <c r="G51" i="30"/>
  <c r="F55" i="30"/>
  <c r="N39" i="23"/>
  <c r="N40" i="23"/>
  <c r="O38" i="23"/>
  <c r="C51" i="24"/>
  <c r="M47" i="17"/>
  <c r="M48" i="17" s="1"/>
  <c r="M49" i="17" s="1"/>
  <c r="M37" i="17"/>
  <c r="L47" i="17"/>
  <c r="L48" i="17" s="1"/>
  <c r="L49" i="17" s="1"/>
  <c r="M50" i="17" s="1"/>
  <c r="H30" i="35"/>
  <c r="B30" i="35"/>
  <c r="N30" i="35"/>
  <c r="AD30" i="35"/>
  <c r="B30" i="37"/>
  <c r="M50" i="37"/>
  <c r="W50" i="24"/>
  <c r="W51" i="24" s="1"/>
  <c r="AE50" i="24"/>
  <c r="AE51" i="24" s="1"/>
  <c r="U50" i="24"/>
  <c r="U51" i="24" s="1"/>
  <c r="G40" i="22"/>
  <c r="G39" i="22"/>
  <c r="Q50" i="28"/>
  <c r="N53" i="28" s="1"/>
  <c r="M40" i="28"/>
  <c r="M39" i="28"/>
  <c r="K43" i="26"/>
  <c r="J62" i="26"/>
  <c r="J61" i="26"/>
  <c r="S50" i="30"/>
  <c r="B39" i="15"/>
  <c r="B40" i="15"/>
  <c r="C38" i="15"/>
  <c r="J59" i="34"/>
  <c r="J60" i="34"/>
  <c r="J47" i="34"/>
  <c r="J48" i="34" s="1"/>
  <c r="J49" i="34" s="1"/>
  <c r="K50" i="34" s="1"/>
  <c r="K47" i="34"/>
  <c r="K48" i="34" s="1"/>
  <c r="K49" i="34" s="1"/>
  <c r="K37" i="34"/>
  <c r="K37" i="12"/>
  <c r="K38" i="12" s="1"/>
  <c r="Q37" i="12"/>
  <c r="Q38" i="12" s="1"/>
  <c r="I37" i="12"/>
  <c r="I38" i="12" s="1"/>
  <c r="AM62" i="27"/>
  <c r="AI50" i="24"/>
  <c r="E40" i="28"/>
  <c r="E39" i="28"/>
  <c r="C38" i="8"/>
  <c r="B40" i="8"/>
  <c r="B39" i="8"/>
  <c r="H30" i="32"/>
  <c r="O47" i="32"/>
  <c r="O48" i="32" s="1"/>
  <c r="O49" i="32" s="1"/>
  <c r="N47" i="32"/>
  <c r="N48" i="32" s="1"/>
  <c r="N49" i="32" s="1"/>
  <c r="O50" i="32" s="1"/>
  <c r="O37" i="32"/>
  <c r="J47" i="16"/>
  <c r="J48" i="16" s="1"/>
  <c r="J49" i="16" s="1"/>
  <c r="K47" i="16"/>
  <c r="K48" i="16" s="1"/>
  <c r="K49" i="16" s="1"/>
  <c r="K37" i="16"/>
  <c r="K38" i="16" s="1"/>
  <c r="F47" i="16"/>
  <c r="F48" i="16" s="1"/>
  <c r="F49" i="16" s="1"/>
  <c r="G50" i="16" s="1"/>
  <c r="G51" i="16" s="1"/>
  <c r="G47" i="16"/>
  <c r="G48" i="16" s="1"/>
  <c r="G49" i="16" s="1"/>
  <c r="G37" i="16"/>
  <c r="G38" i="16" s="1"/>
  <c r="I38" i="23"/>
  <c r="H39" i="23"/>
  <c r="H40" i="23"/>
  <c r="AD47" i="20"/>
  <c r="AD48" i="20" s="1"/>
  <c r="AD49" i="20" s="1"/>
  <c r="AE37" i="20"/>
  <c r="AE38" i="20" s="1"/>
  <c r="AE47" i="20"/>
  <c r="AE48" i="20" s="1"/>
  <c r="AE49" i="20" s="1"/>
  <c r="I47" i="20"/>
  <c r="I48" i="20" s="1"/>
  <c r="I49" i="20" s="1"/>
  <c r="I37" i="20"/>
  <c r="H47" i="20"/>
  <c r="H48" i="20" s="1"/>
  <c r="H49" i="20" s="1"/>
  <c r="I50" i="20" s="1"/>
  <c r="AM47" i="20"/>
  <c r="AM48" i="20" s="1"/>
  <c r="AM49" i="20" s="1"/>
  <c r="AL47" i="20"/>
  <c r="AL48" i="20" s="1"/>
  <c r="AL49" i="20" s="1"/>
  <c r="AM37" i="20"/>
  <c r="AM38" i="20" s="1"/>
  <c r="G50" i="24"/>
  <c r="G51" i="24" s="1"/>
  <c r="BC50" i="24"/>
  <c r="BC51" i="24" s="1"/>
  <c r="AY50" i="24"/>
  <c r="BM50" i="24"/>
  <c r="BS50" i="24"/>
  <c r="BS51" i="24" s="1"/>
  <c r="AS50" i="24"/>
  <c r="K50" i="22"/>
  <c r="C50" i="22"/>
  <c r="N45" i="23"/>
  <c r="N44" i="23"/>
  <c r="T44" i="23"/>
  <c r="T45" i="23"/>
  <c r="R33" i="30"/>
  <c r="BH45" i="27"/>
  <c r="BH44" i="27"/>
  <c r="BD45" i="27"/>
  <c r="BD44" i="27"/>
  <c r="M50" i="24"/>
  <c r="M51" i="24" s="1"/>
  <c r="E50" i="8"/>
  <c r="E51" i="8" s="1"/>
  <c r="F60" i="19"/>
  <c r="F47" i="19"/>
  <c r="F48" i="19" s="1"/>
  <c r="F49" i="19" s="1"/>
  <c r="G50" i="19" s="1"/>
  <c r="G37" i="19"/>
  <c r="F59" i="19"/>
  <c r="G47" i="19"/>
  <c r="G48" i="19" s="1"/>
  <c r="G49" i="19" s="1"/>
  <c r="Q37" i="19"/>
  <c r="Q38" i="19" s="1"/>
  <c r="P47" i="19"/>
  <c r="P48" i="19" s="1"/>
  <c r="P49" i="19" s="1"/>
  <c r="Q50" i="19" s="1"/>
  <c r="Q51" i="19" s="1"/>
  <c r="Q47" i="19"/>
  <c r="Q48" i="19" s="1"/>
  <c r="Q49" i="19" s="1"/>
  <c r="AI47" i="19"/>
  <c r="AI48" i="19" s="1"/>
  <c r="AI49" i="19" s="1"/>
  <c r="AH47" i="19"/>
  <c r="AH48" i="19" s="1"/>
  <c r="AH49" i="19" s="1"/>
  <c r="AI50" i="19" s="1"/>
  <c r="AI51" i="19" s="1"/>
  <c r="AI37" i="19"/>
  <c r="AI38" i="19" s="1"/>
  <c r="O37" i="19"/>
  <c r="O38" i="19" s="1"/>
  <c r="O47" i="19"/>
  <c r="O48" i="19" s="1"/>
  <c r="O49" i="19" s="1"/>
  <c r="N47" i="19"/>
  <c r="N48" i="19" s="1"/>
  <c r="N49" i="19" s="1"/>
  <c r="O50" i="19" s="1"/>
  <c r="K50" i="30"/>
  <c r="C50" i="30"/>
  <c r="H40" i="30"/>
  <c r="I38" i="30"/>
  <c r="H39" i="30"/>
  <c r="R47" i="26"/>
  <c r="R48" i="26" s="1"/>
  <c r="R49" i="26" s="1"/>
  <c r="S50" i="26" s="1"/>
  <c r="S51" i="26" s="1"/>
  <c r="S47" i="26"/>
  <c r="S48" i="26" s="1"/>
  <c r="S49" i="26" s="1"/>
  <c r="S37" i="26"/>
  <c r="S38" i="26" s="1"/>
  <c r="T47" i="26"/>
  <c r="T48" i="26" s="1"/>
  <c r="T49" i="26" s="1"/>
  <c r="T60" i="26"/>
  <c r="U37" i="26"/>
  <c r="T59" i="26"/>
  <c r="U47" i="26"/>
  <c r="U48" i="26" s="1"/>
  <c r="U49" i="26" s="1"/>
  <c r="B47" i="4"/>
  <c r="B48" i="4" s="1"/>
  <c r="B49" i="4" s="1"/>
  <c r="C50" i="4" s="1"/>
  <c r="C37" i="4"/>
  <c r="C47" i="4"/>
  <c r="C48" i="4" s="1"/>
  <c r="C49" i="4" s="1"/>
  <c r="D47" i="4"/>
  <c r="D48" i="4" s="1"/>
  <c r="D49" i="4" s="1"/>
  <c r="E47" i="4"/>
  <c r="E48" i="4" s="1"/>
  <c r="E49" i="4" s="1"/>
  <c r="E37" i="4"/>
  <c r="E38" i="4" s="1"/>
  <c r="R47" i="4"/>
  <c r="R48" i="4" s="1"/>
  <c r="R49" i="4" s="1"/>
  <c r="S47" i="4"/>
  <c r="S48" i="4" s="1"/>
  <c r="S49" i="4" s="1"/>
  <c r="S37" i="4"/>
  <c r="S38" i="4" s="1"/>
  <c r="N47" i="4"/>
  <c r="N48" i="4" s="1"/>
  <c r="N49" i="4" s="1"/>
  <c r="O50" i="4" s="1"/>
  <c r="O51" i="4" s="1"/>
  <c r="O37" i="4"/>
  <c r="O38" i="4" s="1"/>
  <c r="O47" i="4"/>
  <c r="O48" i="4" s="1"/>
  <c r="O49" i="4" s="1"/>
  <c r="AM38" i="24"/>
  <c r="AL40" i="24"/>
  <c r="AL39" i="24"/>
  <c r="O50" i="24"/>
  <c r="O51" i="24" s="1"/>
  <c r="Q43" i="21"/>
  <c r="Q47" i="21"/>
  <c r="Q48" i="21" s="1"/>
  <c r="Q49" i="21" s="1"/>
  <c r="P47" i="21"/>
  <c r="P48" i="21" s="1"/>
  <c r="P49" i="21" s="1"/>
  <c r="M43" i="21"/>
  <c r="M47" i="21"/>
  <c r="M48" i="21" s="1"/>
  <c r="M49" i="21" s="1"/>
  <c r="L47" i="21"/>
  <c r="L48" i="21" s="1"/>
  <c r="L49" i="21" s="1"/>
  <c r="G38" i="30"/>
  <c r="F40" i="30"/>
  <c r="F39" i="30"/>
  <c r="N47" i="23"/>
  <c r="N48" i="23" s="1"/>
  <c r="N49" i="23" s="1"/>
  <c r="O50" i="23" s="1"/>
  <c r="O51" i="23" s="1"/>
  <c r="C38" i="24"/>
  <c r="B40" i="24"/>
  <c r="B39" i="24"/>
  <c r="BK50" i="24"/>
  <c r="G50" i="33"/>
  <c r="U30" i="27"/>
  <c r="U36" i="27"/>
  <c r="S36" i="27"/>
  <c r="AQ30" i="27"/>
  <c r="AM30" i="27"/>
  <c r="BA30" i="27"/>
  <c r="AC30" i="27"/>
  <c r="AM36" i="27"/>
  <c r="AI36" i="27"/>
  <c r="AQ36" i="27"/>
  <c r="AW30" i="27"/>
  <c r="I30" i="27"/>
  <c r="AY30" i="27"/>
  <c r="BY30" i="27"/>
  <c r="CC30" i="27"/>
  <c r="AI30" i="27"/>
  <c r="BA36" i="27"/>
  <c r="G30" i="27"/>
  <c r="G36" i="27"/>
  <c r="S30" i="27"/>
  <c r="AW36" i="27"/>
  <c r="BM36" i="27"/>
  <c r="BI36" i="27"/>
  <c r="BW36" i="27"/>
  <c r="AG30" i="27"/>
  <c r="BE36" i="27"/>
  <c r="BG30" i="27"/>
  <c r="W36" i="27"/>
  <c r="AK30" i="27"/>
  <c r="M30" i="27"/>
  <c r="BC30" i="27"/>
  <c r="BM30" i="27"/>
  <c r="BQ36" i="27"/>
  <c r="BU30" i="27"/>
  <c r="Q30" i="27"/>
  <c r="BK30" i="27"/>
  <c r="K36" i="27"/>
  <c r="AU36" i="27"/>
  <c r="O36" i="27"/>
  <c r="CA36" i="27"/>
  <c r="C36" i="27"/>
  <c r="BO30" i="27"/>
  <c r="AO30" i="27"/>
  <c r="AE36" i="27"/>
  <c r="E30" i="27"/>
  <c r="Y30" i="27"/>
  <c r="AS30" i="27"/>
  <c r="AA36" i="27"/>
  <c r="W30" i="27"/>
  <c r="BI30" i="27"/>
  <c r="AA30" i="27"/>
  <c r="AE30" i="27"/>
  <c r="CA30" i="27"/>
  <c r="O30" i="27"/>
  <c r="BS36" i="27"/>
  <c r="BE30" i="27"/>
  <c r="BW30" i="27"/>
  <c r="AU30" i="27"/>
  <c r="C30" i="27"/>
  <c r="BQ30" i="27"/>
  <c r="K30" i="27"/>
  <c r="BS30" i="27"/>
  <c r="I39" i="21"/>
  <c r="I40" i="21"/>
  <c r="B45" i="26"/>
  <c r="B44" i="26"/>
  <c r="U47" i="23"/>
  <c r="U48" i="23" s="1"/>
  <c r="U49" i="23" s="1"/>
  <c r="N53" i="14"/>
  <c r="N54" i="14"/>
  <c r="N55" i="14"/>
  <c r="O51" i="14"/>
  <c r="N40" i="30"/>
  <c r="O38" i="30"/>
  <c r="N39" i="30"/>
  <c r="Y37" i="17"/>
  <c r="Y38" i="17" s="1"/>
  <c r="X47" i="17"/>
  <c r="X48" i="17" s="1"/>
  <c r="X49" i="17" s="1"/>
  <c r="Y47" i="17"/>
  <c r="Y48" i="17" s="1"/>
  <c r="Y49" i="17" s="1"/>
  <c r="C47" i="17"/>
  <c r="C48" i="17" s="1"/>
  <c r="C49" i="17" s="1"/>
  <c r="B60" i="17"/>
  <c r="C37" i="17"/>
  <c r="B47" i="17"/>
  <c r="B48" i="17" s="1"/>
  <c r="B49" i="17" s="1"/>
  <c r="B59" i="17"/>
  <c r="R53" i="24"/>
  <c r="R54" i="24"/>
  <c r="R55" i="24"/>
  <c r="S51" i="24"/>
  <c r="C51" i="23"/>
  <c r="J30" i="34"/>
  <c r="F30" i="34" s="1"/>
  <c r="B30" i="34" s="1"/>
  <c r="H36" i="34" s="1"/>
  <c r="K51" i="24"/>
  <c r="J53" i="24"/>
  <c r="J54" i="24"/>
  <c r="D30" i="32"/>
  <c r="B30" i="32" s="1"/>
  <c r="F36" i="32" s="1"/>
  <c r="K50" i="37"/>
  <c r="W38" i="33"/>
  <c r="V40" i="33"/>
  <c r="V39" i="33"/>
  <c r="R40" i="30"/>
  <c r="S38" i="30"/>
  <c r="R39" i="30"/>
  <c r="T40" i="30"/>
  <c r="U38" i="30"/>
  <c r="T39" i="30"/>
  <c r="B39" i="23"/>
  <c r="B40" i="23"/>
  <c r="C38" i="23"/>
  <c r="O47" i="34"/>
  <c r="O48" i="34" s="1"/>
  <c r="O49" i="34" s="1"/>
  <c r="O37" i="34"/>
  <c r="N47" i="34"/>
  <c r="N48" i="34" s="1"/>
  <c r="N49" i="34" s="1"/>
  <c r="C37" i="12"/>
  <c r="L18" i="12"/>
  <c r="M18" i="12"/>
  <c r="M27" i="12"/>
  <c r="M31" i="12" s="1"/>
  <c r="C32" i="12" s="1"/>
  <c r="B29" i="4"/>
  <c r="X36" i="4" s="1"/>
  <c r="AM61" i="27"/>
  <c r="B40" i="28"/>
  <c r="C38" i="28"/>
  <c r="B39" i="28"/>
  <c r="M37" i="32"/>
  <c r="L47" i="32"/>
  <c r="L48" i="32" s="1"/>
  <c r="L49" i="32" s="1"/>
  <c r="M47" i="32"/>
  <c r="M48" i="32" s="1"/>
  <c r="M49" i="32" s="1"/>
  <c r="P36" i="32"/>
  <c r="I37" i="32"/>
  <c r="H47" i="32"/>
  <c r="H48" i="32" s="1"/>
  <c r="H49" i="32" s="1"/>
  <c r="I47" i="32"/>
  <c r="I48" i="32" s="1"/>
  <c r="I49" i="32" s="1"/>
  <c r="P47" i="16"/>
  <c r="P48" i="16" s="1"/>
  <c r="P49" i="16" s="1"/>
  <c r="Q50" i="16" s="1"/>
  <c r="Q51" i="16" s="1"/>
  <c r="Q47" i="16"/>
  <c r="Q48" i="16" s="1"/>
  <c r="Q49" i="16" s="1"/>
  <c r="Q37" i="16"/>
  <c r="Q38" i="16" s="1"/>
  <c r="C37" i="16"/>
  <c r="B47" i="16"/>
  <c r="B48" i="16" s="1"/>
  <c r="B49" i="16" s="1"/>
  <c r="C50" i="16" s="1"/>
  <c r="C47" i="16"/>
  <c r="C48" i="16" s="1"/>
  <c r="C49" i="16" s="1"/>
  <c r="I47" i="23"/>
  <c r="I48" i="23" s="1"/>
  <c r="I49" i="23" s="1"/>
  <c r="G50" i="14"/>
  <c r="G51" i="14" s="1"/>
  <c r="M37" i="20"/>
  <c r="M47" i="20"/>
  <c r="M48" i="20" s="1"/>
  <c r="M49" i="20" s="1"/>
  <c r="L47" i="20"/>
  <c r="L48" i="20" s="1"/>
  <c r="L49" i="20" s="1"/>
  <c r="M50" i="20" s="1"/>
  <c r="L59" i="20"/>
  <c r="L60" i="20"/>
  <c r="AI47" i="20"/>
  <c r="AI48" i="20" s="1"/>
  <c r="AI49" i="20" s="1"/>
  <c r="AH60" i="20"/>
  <c r="AH47" i="20"/>
  <c r="AH48" i="20" s="1"/>
  <c r="AH49" i="20" s="1"/>
  <c r="AI50" i="20" s="1"/>
  <c r="AH59" i="20"/>
  <c r="AI37" i="20"/>
  <c r="Q37" i="20"/>
  <c r="Q38" i="20" s="1"/>
  <c r="P47" i="20"/>
  <c r="P48" i="20" s="1"/>
  <c r="P49" i="20" s="1"/>
  <c r="Q50" i="20" s="1"/>
  <c r="Q51" i="20" s="1"/>
  <c r="Q47" i="20"/>
  <c r="Q48" i="20" s="1"/>
  <c r="Q49" i="20" s="1"/>
  <c r="G40" i="24"/>
  <c r="G39" i="24"/>
  <c r="B40" i="22"/>
  <c r="C38" i="22"/>
  <c r="B39" i="22"/>
  <c r="C39" i="21"/>
  <c r="C40" i="21"/>
  <c r="H54" i="28"/>
  <c r="H53" i="28"/>
  <c r="I51" i="28"/>
  <c r="H55" i="28"/>
  <c r="C60" i="33"/>
  <c r="C59" i="33"/>
  <c r="B39" i="33"/>
  <c r="C38" i="33"/>
  <c r="B40" i="33"/>
  <c r="BR44" i="27"/>
  <c r="BR45" i="27"/>
  <c r="K47" i="19"/>
  <c r="K48" i="19" s="1"/>
  <c r="K49" i="19" s="1"/>
  <c r="J47" i="19"/>
  <c r="J48" i="19" s="1"/>
  <c r="J49" i="19" s="1"/>
  <c r="K37" i="19"/>
  <c r="K38" i="19" s="1"/>
  <c r="B47" i="19"/>
  <c r="B48" i="19" s="1"/>
  <c r="B49" i="19" s="1"/>
  <c r="C47" i="19"/>
  <c r="C48" i="19" s="1"/>
  <c r="C49" i="19" s="1"/>
  <c r="C37" i="19"/>
  <c r="B59" i="19"/>
  <c r="B60" i="19"/>
  <c r="Y37" i="19"/>
  <c r="X59" i="19"/>
  <c r="X60" i="19"/>
  <c r="X47" i="19"/>
  <c r="X48" i="19" s="1"/>
  <c r="X49" i="19" s="1"/>
  <c r="Y47" i="19"/>
  <c r="Y48" i="19" s="1"/>
  <c r="Y49" i="19" s="1"/>
  <c r="B45" i="32"/>
  <c r="B44" i="32"/>
  <c r="D45" i="32"/>
  <c r="D44" i="32"/>
  <c r="K37" i="26"/>
  <c r="J59" i="26"/>
  <c r="J60" i="26"/>
  <c r="K47" i="26"/>
  <c r="K48" i="26" s="1"/>
  <c r="K49" i="26" s="1"/>
  <c r="J47" i="26"/>
  <c r="J48" i="26" s="1"/>
  <c r="J49" i="26" s="1"/>
  <c r="F47" i="4"/>
  <c r="F48" i="4" s="1"/>
  <c r="F49" i="4" s="1"/>
  <c r="G37" i="4"/>
  <c r="G38" i="4" s="1"/>
  <c r="G47" i="4"/>
  <c r="G48" i="4" s="1"/>
  <c r="G49" i="4" s="1"/>
  <c r="K37" i="4"/>
  <c r="K38" i="4" s="1"/>
  <c r="K47" i="4"/>
  <c r="K48" i="4" s="1"/>
  <c r="K49" i="4" s="1"/>
  <c r="J47" i="4"/>
  <c r="J48" i="4" s="1"/>
  <c r="J49" i="4" s="1"/>
  <c r="K50" i="4" s="1"/>
  <c r="K51" i="4" s="1"/>
  <c r="M47" i="4"/>
  <c r="M48" i="4" s="1"/>
  <c r="M49" i="4" s="1"/>
  <c r="M37" i="4"/>
  <c r="M38" i="4" s="1"/>
  <c r="L47" i="4"/>
  <c r="L48" i="4" s="1"/>
  <c r="L49" i="4" s="1"/>
  <c r="CA50" i="24"/>
  <c r="W38" i="22"/>
  <c r="V40" i="22"/>
  <c r="V39" i="22"/>
  <c r="C43" i="21"/>
  <c r="C47" i="21"/>
  <c r="C48" i="21" s="1"/>
  <c r="C49" i="21" s="1"/>
  <c r="B47" i="21"/>
  <c r="B48" i="21" s="1"/>
  <c r="B49" i="21" s="1"/>
  <c r="I43" i="21"/>
  <c r="I47" i="21"/>
  <c r="I48" i="21" s="1"/>
  <c r="I49" i="21" s="1"/>
  <c r="H47" i="21"/>
  <c r="H48" i="21" s="1"/>
  <c r="H49" i="21" s="1"/>
  <c r="I50" i="21" s="1"/>
  <c r="I51" i="21" s="1"/>
  <c r="O43" i="21"/>
  <c r="N47" i="21"/>
  <c r="N48" i="21" s="1"/>
  <c r="N49" i="21" s="1"/>
  <c r="O47" i="21"/>
  <c r="O48" i="21" s="1"/>
  <c r="O49" i="21" s="1"/>
  <c r="K50" i="33"/>
  <c r="S50" i="33"/>
  <c r="AG50" i="24"/>
  <c r="O50" i="33"/>
  <c r="B44" i="19"/>
  <c r="B45" i="19"/>
  <c r="B62" i="26"/>
  <c r="T47" i="23"/>
  <c r="T48" i="23" s="1"/>
  <c r="T49" i="23" s="1"/>
  <c r="U50" i="23" s="1"/>
  <c r="U51" i="23" s="1"/>
  <c r="O51" i="28"/>
  <c r="O50" i="30"/>
  <c r="T53" i="14"/>
  <c r="T54" i="14"/>
  <c r="T55" i="14"/>
  <c r="U51" i="14"/>
  <c r="AB47" i="17"/>
  <c r="AB48" i="17" s="1"/>
  <c r="AB49" i="17" s="1"/>
  <c r="AC50" i="17" s="1"/>
  <c r="AC51" i="17" s="1"/>
  <c r="AC37" i="17"/>
  <c r="AC38" i="17" s="1"/>
  <c r="AC47" i="17"/>
  <c r="AC48" i="17" s="1"/>
  <c r="AC49" i="17" s="1"/>
  <c r="M60" i="37"/>
  <c r="M59" i="37"/>
  <c r="L40" i="37"/>
  <c r="L39" i="37"/>
  <c r="M38" i="37"/>
  <c r="L55" i="37"/>
  <c r="L54" i="37"/>
  <c r="L53" i="37"/>
  <c r="M51" i="37"/>
  <c r="K60" i="37"/>
  <c r="K59" i="37"/>
  <c r="J40" i="37"/>
  <c r="J39" i="37"/>
  <c r="K38" i="37"/>
  <c r="J55" i="37"/>
  <c r="J54" i="37"/>
  <c r="J53" i="37"/>
  <c r="K51" i="37"/>
  <c r="G40" i="37"/>
  <c r="G39" i="37"/>
  <c r="B60" i="37"/>
  <c r="B59" i="37"/>
  <c r="C47" i="37"/>
  <c r="C48" i="37" s="1"/>
  <c r="C49" i="37" s="1"/>
  <c r="B47" i="37"/>
  <c r="B48" i="37" s="1"/>
  <c r="B49" i="37" s="1"/>
  <c r="C50" i="37" s="1"/>
  <c r="C37" i="37"/>
  <c r="F60" i="36"/>
  <c r="F59" i="36"/>
  <c r="G47" i="36"/>
  <c r="G48" i="36" s="1"/>
  <c r="G49" i="36" s="1"/>
  <c r="F47" i="36"/>
  <c r="F48" i="36" s="1"/>
  <c r="F49" i="36" s="1"/>
  <c r="G50" i="36" s="1"/>
  <c r="G37" i="36"/>
  <c r="B60" i="36"/>
  <c r="B59" i="36"/>
  <c r="C47" i="36"/>
  <c r="C48" i="36" s="1"/>
  <c r="C49" i="36" s="1"/>
  <c r="B47" i="36"/>
  <c r="B48" i="36" s="1"/>
  <c r="B49" i="36" s="1"/>
  <c r="C37" i="36"/>
  <c r="AI47" i="35"/>
  <c r="AI48" i="35" s="1"/>
  <c r="AI49" i="35" s="1"/>
  <c r="AH47" i="35"/>
  <c r="AH48" i="35" s="1"/>
  <c r="AH49" i="35" s="1"/>
  <c r="AI50" i="35" s="1"/>
  <c r="AI37" i="35"/>
  <c r="AM47" i="35"/>
  <c r="AM48" i="35" s="1"/>
  <c r="AM49" i="35" s="1"/>
  <c r="AL47" i="35"/>
  <c r="AL48" i="35" s="1"/>
  <c r="AL49" i="35" s="1"/>
  <c r="AM50" i="35" s="1"/>
  <c r="AM37" i="35"/>
  <c r="AD60" i="35"/>
  <c r="AD59" i="35"/>
  <c r="AE47" i="35"/>
  <c r="AE48" i="35" s="1"/>
  <c r="AE49" i="35" s="1"/>
  <c r="AD47" i="35"/>
  <c r="AD48" i="35" s="1"/>
  <c r="AD49" i="35" s="1"/>
  <c r="AE50" i="35" s="1"/>
  <c r="AE37" i="35"/>
  <c r="AA47" i="35"/>
  <c r="AA48" i="35" s="1"/>
  <c r="AA49" i="35" s="1"/>
  <c r="Z47" i="35"/>
  <c r="Z48" i="35" s="1"/>
  <c r="Z49" i="35" s="1"/>
  <c r="AA50" i="35" s="1"/>
  <c r="AA37" i="35"/>
  <c r="W47" i="35"/>
  <c r="W48" i="35" s="1"/>
  <c r="W49" i="35" s="1"/>
  <c r="V47" i="35"/>
  <c r="V48" i="35" s="1"/>
  <c r="V49" i="35" s="1"/>
  <c r="W37" i="35"/>
  <c r="S47" i="35"/>
  <c r="S48" i="35" s="1"/>
  <c r="S49" i="35" s="1"/>
  <c r="R47" i="35"/>
  <c r="R48" i="35" s="1"/>
  <c r="R49" i="35" s="1"/>
  <c r="S37" i="35"/>
  <c r="L36" i="35"/>
  <c r="H60" i="35"/>
  <c r="H59" i="35"/>
  <c r="O47" i="35"/>
  <c r="O48" i="35" s="1"/>
  <c r="O49" i="35" s="1"/>
  <c r="N47" i="35"/>
  <c r="N48" i="35" s="1"/>
  <c r="N49" i="35" s="1"/>
  <c r="O50" i="35" s="1"/>
  <c r="O37" i="35"/>
  <c r="K47" i="35"/>
  <c r="K48" i="35" s="1"/>
  <c r="K49" i="35" s="1"/>
  <c r="J47" i="35"/>
  <c r="J48" i="35" s="1"/>
  <c r="J49" i="35" s="1"/>
  <c r="K37" i="35"/>
  <c r="I47" i="35"/>
  <c r="I48" i="35" s="1"/>
  <c r="I49" i="35" s="1"/>
  <c r="H47" i="35"/>
  <c r="H48" i="35" s="1"/>
  <c r="H49" i="35" s="1"/>
  <c r="I37" i="35"/>
  <c r="B60" i="35"/>
  <c r="B59" i="35"/>
  <c r="C47" i="35"/>
  <c r="C48" i="35" s="1"/>
  <c r="C49" i="35" s="1"/>
  <c r="B47" i="35"/>
  <c r="B48" i="35" s="1"/>
  <c r="B49" i="35" s="1"/>
  <c r="C37" i="35"/>
  <c r="N55" i="30" l="1"/>
  <c r="N54" i="30"/>
  <c r="O51" i="30"/>
  <c r="N53" i="30"/>
  <c r="K51" i="33"/>
  <c r="J55" i="33"/>
  <c r="J54" i="33"/>
  <c r="J53" i="33"/>
  <c r="W40" i="22"/>
  <c r="W39" i="22"/>
  <c r="B39" i="16"/>
  <c r="B40" i="16"/>
  <c r="C38" i="16"/>
  <c r="Q33" i="12"/>
  <c r="O33" i="12"/>
  <c r="M33" i="12"/>
  <c r="Q42" i="12"/>
  <c r="K42" i="12"/>
  <c r="K33" i="12"/>
  <c r="I42" i="12"/>
  <c r="G42" i="12"/>
  <c r="I33" i="12"/>
  <c r="G33" i="12"/>
  <c r="C42" i="12"/>
  <c r="E42" i="12"/>
  <c r="E33" i="12"/>
  <c r="C33" i="12"/>
  <c r="AT47" i="27"/>
  <c r="AT48" i="27" s="1"/>
  <c r="AT49" i="27" s="1"/>
  <c r="AU50" i="27" s="1"/>
  <c r="AU51" i="27" s="1"/>
  <c r="AU47" i="27"/>
  <c r="AU48" i="27" s="1"/>
  <c r="AU49" i="27" s="1"/>
  <c r="AU37" i="27"/>
  <c r="AU38" i="27" s="1"/>
  <c r="BE37" i="27"/>
  <c r="BD47" i="27"/>
  <c r="BD48" i="27" s="1"/>
  <c r="BD49" i="27" s="1"/>
  <c r="BE50" i="27" s="1"/>
  <c r="BE47" i="27"/>
  <c r="BE48" i="27" s="1"/>
  <c r="BE49" i="27" s="1"/>
  <c r="U37" i="27"/>
  <c r="U38" i="27" s="1"/>
  <c r="T47" i="27"/>
  <c r="T48" i="27" s="1"/>
  <c r="T49" i="27" s="1"/>
  <c r="U47" i="27"/>
  <c r="U48" i="27" s="1"/>
  <c r="U49" i="27" s="1"/>
  <c r="AM39" i="24"/>
  <c r="AM40" i="24"/>
  <c r="C51" i="4"/>
  <c r="O51" i="19"/>
  <c r="N56" i="19"/>
  <c r="N53" i="19"/>
  <c r="N54" i="32"/>
  <c r="O51" i="32"/>
  <c r="N53" i="32"/>
  <c r="N55" i="32"/>
  <c r="K60" i="34"/>
  <c r="K59" i="34"/>
  <c r="J40" i="34"/>
  <c r="K38" i="34"/>
  <c r="J39" i="34"/>
  <c r="L60" i="33"/>
  <c r="K39" i="33"/>
  <c r="L59" i="33"/>
  <c r="K40" i="33"/>
  <c r="BD55" i="24"/>
  <c r="BE51" i="24"/>
  <c r="BD53" i="24"/>
  <c r="BD54" i="24"/>
  <c r="C51" i="32"/>
  <c r="B55" i="32"/>
  <c r="B54" i="32"/>
  <c r="B53" i="32"/>
  <c r="B53" i="14"/>
  <c r="O51" i="33"/>
  <c r="N54" i="33"/>
  <c r="N55" i="33"/>
  <c r="N53" i="33"/>
  <c r="B44" i="21"/>
  <c r="B45" i="21"/>
  <c r="BZ54" i="24"/>
  <c r="BZ55" i="24"/>
  <c r="CA51" i="24"/>
  <c r="BZ53" i="24"/>
  <c r="Y50" i="19"/>
  <c r="C50" i="19"/>
  <c r="L54" i="20"/>
  <c r="L56" i="20"/>
  <c r="L55" i="20"/>
  <c r="M51" i="20"/>
  <c r="L53" i="20"/>
  <c r="I50" i="32"/>
  <c r="M50" i="32"/>
  <c r="B40" i="12"/>
  <c r="C38" i="12"/>
  <c r="B39" i="12"/>
  <c r="C39" i="23"/>
  <c r="C40" i="23"/>
  <c r="U40" i="30"/>
  <c r="U39" i="30"/>
  <c r="C50" i="17"/>
  <c r="O39" i="30"/>
  <c r="O40" i="30"/>
  <c r="C37" i="27"/>
  <c r="B47" i="27"/>
  <c r="B48" i="27" s="1"/>
  <c r="B49" i="27" s="1"/>
  <c r="C50" i="27" s="1"/>
  <c r="C47" i="27"/>
  <c r="C48" i="27" s="1"/>
  <c r="C49" i="27" s="1"/>
  <c r="K37" i="27"/>
  <c r="K47" i="27"/>
  <c r="K48" i="27" s="1"/>
  <c r="K49" i="27" s="1"/>
  <c r="J47" i="27"/>
  <c r="J48" i="27" s="1"/>
  <c r="J49" i="27" s="1"/>
  <c r="BQ37" i="27"/>
  <c r="BP47" i="27"/>
  <c r="BP48" i="27" s="1"/>
  <c r="BP49" i="27" s="1"/>
  <c r="BQ47" i="27"/>
  <c r="BQ48" i="27" s="1"/>
  <c r="BQ49" i="27" s="1"/>
  <c r="AW37" i="27"/>
  <c r="AW38" i="27" s="1"/>
  <c r="AV47" i="27"/>
  <c r="AV48" i="27" s="1"/>
  <c r="AV49" i="27" s="1"/>
  <c r="AW47" i="27"/>
  <c r="AW48" i="27" s="1"/>
  <c r="AW49" i="27" s="1"/>
  <c r="AZ47" i="27"/>
  <c r="AZ48" i="27" s="1"/>
  <c r="AZ49" i="27" s="1"/>
  <c r="BA50" i="27" s="1"/>
  <c r="BA51" i="27" s="1"/>
  <c r="BA37" i="27"/>
  <c r="BA38" i="27" s="1"/>
  <c r="BA47" i="27"/>
  <c r="BA48" i="27" s="1"/>
  <c r="BA49" i="27" s="1"/>
  <c r="AI37" i="27"/>
  <c r="AI38" i="27" s="1"/>
  <c r="AH47" i="27"/>
  <c r="AH48" i="27" s="1"/>
  <c r="AH49" i="27" s="1"/>
  <c r="AI50" i="27" s="1"/>
  <c r="AI51" i="27" s="1"/>
  <c r="AI47" i="27"/>
  <c r="AI48" i="27" s="1"/>
  <c r="AI49" i="27" s="1"/>
  <c r="E50" i="4"/>
  <c r="E51" i="4" s="1"/>
  <c r="U50" i="26"/>
  <c r="H33" i="32"/>
  <c r="D33" i="32" s="1"/>
  <c r="B33" i="32" s="1"/>
  <c r="F42" i="32" s="1"/>
  <c r="B53" i="22"/>
  <c r="B55" i="22"/>
  <c r="B54" i="22"/>
  <c r="C51" i="22"/>
  <c r="BL54" i="24"/>
  <c r="BL55" i="24"/>
  <c r="BM51" i="24"/>
  <c r="BL53" i="24"/>
  <c r="H40" i="20"/>
  <c r="I38" i="20"/>
  <c r="H39" i="20"/>
  <c r="AE50" i="20"/>
  <c r="AE51" i="20" s="1"/>
  <c r="AI51" i="24"/>
  <c r="AH53" i="24"/>
  <c r="AH54" i="24"/>
  <c r="AH55" i="24"/>
  <c r="P36" i="34"/>
  <c r="J45" i="26"/>
  <c r="J44" i="26"/>
  <c r="L40" i="17"/>
  <c r="M39" i="17"/>
  <c r="L39" i="17"/>
  <c r="M40" i="17"/>
  <c r="M38" i="17"/>
  <c r="C59" i="26"/>
  <c r="B39" i="26"/>
  <c r="C38" i="26"/>
  <c r="B40" i="26"/>
  <c r="C50" i="20"/>
  <c r="B53" i="8"/>
  <c r="C31" i="11" s="1"/>
  <c r="U50" i="17"/>
  <c r="C60" i="31"/>
  <c r="C59" i="31"/>
  <c r="C39" i="31"/>
  <c r="C40" i="31"/>
  <c r="O40" i="33"/>
  <c r="O39" i="33"/>
  <c r="T60" i="33"/>
  <c r="S39" i="33"/>
  <c r="T59" i="33"/>
  <c r="S40" i="33"/>
  <c r="BV54" i="24"/>
  <c r="U50" i="19"/>
  <c r="U51" i="19" s="1"/>
  <c r="C60" i="32"/>
  <c r="C59" i="32"/>
  <c r="B39" i="32"/>
  <c r="B40" i="32"/>
  <c r="C38" i="32"/>
  <c r="C59" i="34"/>
  <c r="C60" i="34"/>
  <c r="B39" i="34"/>
  <c r="B40" i="34"/>
  <c r="C38" i="34"/>
  <c r="G50" i="34"/>
  <c r="B56" i="14"/>
  <c r="G39" i="33"/>
  <c r="G40" i="33"/>
  <c r="O39" i="26"/>
  <c r="O40" i="26"/>
  <c r="C40" i="30"/>
  <c r="C39" i="30"/>
  <c r="X39" i="19"/>
  <c r="Y38" i="19"/>
  <c r="X40" i="19"/>
  <c r="AH56" i="20"/>
  <c r="AI51" i="20"/>
  <c r="W40" i="33"/>
  <c r="W39" i="33"/>
  <c r="I40" i="30"/>
  <c r="I39" i="30"/>
  <c r="G51" i="19"/>
  <c r="F56" i="19"/>
  <c r="P53" i="28"/>
  <c r="Q51" i="28"/>
  <c r="P54" i="28"/>
  <c r="P55" i="28"/>
  <c r="B53" i="24"/>
  <c r="D53" i="32"/>
  <c r="D54" i="32"/>
  <c r="D55" i="32"/>
  <c r="E51" i="32"/>
  <c r="C50" i="35"/>
  <c r="B54" i="35" s="1"/>
  <c r="K50" i="35"/>
  <c r="W50" i="35"/>
  <c r="N54" i="28"/>
  <c r="AF55" i="24"/>
  <c r="AG51" i="24"/>
  <c r="AF53" i="24"/>
  <c r="AF54" i="24"/>
  <c r="O50" i="21"/>
  <c r="O51" i="21" s="1"/>
  <c r="H44" i="21"/>
  <c r="H45" i="21"/>
  <c r="M50" i="4"/>
  <c r="M51" i="4" s="1"/>
  <c r="G50" i="4"/>
  <c r="G51" i="4" s="1"/>
  <c r="AI38" i="20"/>
  <c r="AH39" i="20"/>
  <c r="AH40" i="20"/>
  <c r="H40" i="32"/>
  <c r="H39" i="32"/>
  <c r="I38" i="32"/>
  <c r="L39" i="32"/>
  <c r="L40" i="32"/>
  <c r="M38" i="32"/>
  <c r="O50" i="34"/>
  <c r="J55" i="24"/>
  <c r="C38" i="17"/>
  <c r="B39" i="17"/>
  <c r="B40" i="17"/>
  <c r="Y50" i="17"/>
  <c r="Y51" i="17" s="1"/>
  <c r="Z47" i="27"/>
  <c r="Z48" i="27" s="1"/>
  <c r="Z49" i="27" s="1"/>
  <c r="AA50" i="27" s="1"/>
  <c r="AA51" i="27" s="1"/>
  <c r="AA47" i="27"/>
  <c r="AA48" i="27" s="1"/>
  <c r="AA49" i="27" s="1"/>
  <c r="AA37" i="27"/>
  <c r="AA38" i="27" s="1"/>
  <c r="AD47" i="27"/>
  <c r="AD48" i="27" s="1"/>
  <c r="AD49" i="27" s="1"/>
  <c r="AE47" i="27"/>
  <c r="AE48" i="27" s="1"/>
  <c r="AE49" i="27" s="1"/>
  <c r="AE37" i="27"/>
  <c r="AE38" i="27" s="1"/>
  <c r="BZ47" i="27"/>
  <c r="BZ48" i="27" s="1"/>
  <c r="BZ49" i="27" s="1"/>
  <c r="CA50" i="27" s="1"/>
  <c r="CA51" i="27" s="1"/>
  <c r="CA47" i="27"/>
  <c r="CA48" i="27" s="1"/>
  <c r="CA49" i="27" s="1"/>
  <c r="CA37" i="27"/>
  <c r="V47" i="27"/>
  <c r="V48" i="27" s="1"/>
  <c r="V49" i="27" s="1"/>
  <c r="W50" i="27" s="1"/>
  <c r="W51" i="27" s="1"/>
  <c r="W47" i="27"/>
  <c r="W48" i="27" s="1"/>
  <c r="W49" i="27" s="1"/>
  <c r="W37" i="27"/>
  <c r="W38" i="27" s="1"/>
  <c r="BV60" i="27"/>
  <c r="BV59" i="27"/>
  <c r="BV63" i="27" s="1"/>
  <c r="BW37" i="27"/>
  <c r="BW47" i="27"/>
  <c r="BW48" i="27" s="1"/>
  <c r="BW49" i="27" s="1"/>
  <c r="BV47" i="27"/>
  <c r="BV48" i="27" s="1"/>
  <c r="BV49" i="27" s="1"/>
  <c r="BW50" i="27" s="1"/>
  <c r="AM37" i="27"/>
  <c r="AM38" i="27" s="1"/>
  <c r="AM59" i="27"/>
  <c r="AM63" i="27" s="1"/>
  <c r="AM47" i="27"/>
  <c r="AM48" i="27" s="1"/>
  <c r="AM49" i="27" s="1"/>
  <c r="AM60" i="27"/>
  <c r="AL47" i="27"/>
  <c r="AL48" i="27" s="1"/>
  <c r="AL49" i="27" s="1"/>
  <c r="AM50" i="27" s="1"/>
  <c r="F54" i="33"/>
  <c r="F55" i="33"/>
  <c r="G51" i="33"/>
  <c r="F53" i="33"/>
  <c r="C39" i="24"/>
  <c r="C40" i="24"/>
  <c r="G39" i="30"/>
  <c r="G40" i="30"/>
  <c r="Q50" i="21"/>
  <c r="Q51" i="21" s="1"/>
  <c r="S50" i="4"/>
  <c r="S51" i="4" s="1"/>
  <c r="C51" i="30"/>
  <c r="B55" i="30"/>
  <c r="B54" i="30"/>
  <c r="B53" i="30"/>
  <c r="J54" i="22"/>
  <c r="J53" i="22"/>
  <c r="J55" i="22"/>
  <c r="K51" i="22"/>
  <c r="AX53" i="24"/>
  <c r="AX54" i="24"/>
  <c r="AX55" i="24"/>
  <c r="AY51" i="24"/>
  <c r="AM50" i="20"/>
  <c r="AM51" i="20" s="1"/>
  <c r="K50" i="16"/>
  <c r="K51" i="16" s="1"/>
  <c r="C39" i="8"/>
  <c r="C40" i="8"/>
  <c r="R55" i="30"/>
  <c r="S51" i="30"/>
  <c r="R53" i="30"/>
  <c r="R54" i="30"/>
  <c r="B55" i="24"/>
  <c r="C50" i="26"/>
  <c r="BV45" i="27"/>
  <c r="BV44" i="27"/>
  <c r="C38" i="20"/>
  <c r="B39" i="20"/>
  <c r="B40" i="20"/>
  <c r="B55" i="8"/>
  <c r="E31" i="11" s="1"/>
  <c r="B56" i="8"/>
  <c r="B31" i="11" s="1"/>
  <c r="C39" i="14"/>
  <c r="C40" i="14"/>
  <c r="BV53" i="24"/>
  <c r="W50" i="4"/>
  <c r="W51" i="4" s="1"/>
  <c r="U50" i="4"/>
  <c r="U51" i="4" s="1"/>
  <c r="G50" i="26"/>
  <c r="G51" i="26" s="1"/>
  <c r="B45" i="23"/>
  <c r="B44" i="23"/>
  <c r="AA50" i="20"/>
  <c r="I50" i="23"/>
  <c r="AG39" i="24"/>
  <c r="AG40" i="24"/>
  <c r="E39" i="31"/>
  <c r="E40" i="31"/>
  <c r="AQ50" i="20"/>
  <c r="D59" i="33"/>
  <c r="D60" i="33"/>
  <c r="C40" i="33"/>
  <c r="C39" i="33"/>
  <c r="C39" i="28"/>
  <c r="C40" i="28"/>
  <c r="S39" i="30"/>
  <c r="S40" i="30"/>
  <c r="BM37" i="27"/>
  <c r="BM47" i="27"/>
  <c r="BM48" i="27" s="1"/>
  <c r="BM49" i="27" s="1"/>
  <c r="BL47" i="27"/>
  <c r="BL48" i="27" s="1"/>
  <c r="BL49" i="27" s="1"/>
  <c r="AQ37" i="27"/>
  <c r="AQ38" i="27" s="1"/>
  <c r="AP47" i="27"/>
  <c r="AP48" i="27" s="1"/>
  <c r="AP49" i="27" s="1"/>
  <c r="AQ50" i="27" s="1"/>
  <c r="AQ51" i="27" s="1"/>
  <c r="AQ47" i="27"/>
  <c r="AQ48" i="27" s="1"/>
  <c r="AQ49" i="27" s="1"/>
  <c r="H55" i="20"/>
  <c r="I51" i="20"/>
  <c r="H56" i="20"/>
  <c r="H53" i="20"/>
  <c r="H54" i="20"/>
  <c r="I40" i="23"/>
  <c r="I39" i="23"/>
  <c r="L55" i="17"/>
  <c r="M51" i="17"/>
  <c r="L54" i="17"/>
  <c r="L53" i="17"/>
  <c r="I50" i="35"/>
  <c r="S50" i="35"/>
  <c r="C50" i="36"/>
  <c r="N55" i="28"/>
  <c r="R55" i="33"/>
  <c r="R54" i="33"/>
  <c r="S51" i="33"/>
  <c r="R53" i="33"/>
  <c r="C50" i="21"/>
  <c r="K50" i="26"/>
  <c r="K59" i="26"/>
  <c r="J40" i="26"/>
  <c r="K38" i="26"/>
  <c r="J39" i="26"/>
  <c r="C38" i="19"/>
  <c r="B40" i="19"/>
  <c r="B39" i="19"/>
  <c r="K50" i="19"/>
  <c r="K51" i="19" s="1"/>
  <c r="C39" i="22"/>
  <c r="C40" i="22"/>
  <c r="M38" i="20"/>
  <c r="L39" i="20"/>
  <c r="L40" i="20"/>
  <c r="B54" i="16"/>
  <c r="B55" i="16"/>
  <c r="C51" i="16"/>
  <c r="B56" i="16"/>
  <c r="B53" i="16"/>
  <c r="O60" i="34"/>
  <c r="O38" i="34"/>
  <c r="N40" i="34"/>
  <c r="N39" i="34"/>
  <c r="O59" i="34"/>
  <c r="BR47" i="27"/>
  <c r="BR48" i="27" s="1"/>
  <c r="BR49" i="27" s="1"/>
  <c r="BS50" i="27" s="1"/>
  <c r="BS51" i="27" s="1"/>
  <c r="BS47" i="27"/>
  <c r="BS48" i="27" s="1"/>
  <c r="BS49" i="27" s="1"/>
  <c r="BS37" i="27"/>
  <c r="N47" i="27"/>
  <c r="N48" i="27" s="1"/>
  <c r="N49" i="27" s="1"/>
  <c r="O50" i="27" s="1"/>
  <c r="O51" i="27" s="1"/>
  <c r="O47" i="27"/>
  <c r="O48" i="27" s="1"/>
  <c r="O49" i="27" s="1"/>
  <c r="O37" i="27"/>
  <c r="O38" i="27" s="1"/>
  <c r="BI37" i="27"/>
  <c r="BI47" i="27"/>
  <c r="BI48" i="27" s="1"/>
  <c r="BI49" i="27" s="1"/>
  <c r="BH47" i="27"/>
  <c r="BH48" i="27" s="1"/>
  <c r="BH49" i="27" s="1"/>
  <c r="G37" i="27"/>
  <c r="G38" i="27" s="1"/>
  <c r="G47" i="27"/>
  <c r="G48" i="27" s="1"/>
  <c r="G49" i="27" s="1"/>
  <c r="F47" i="27"/>
  <c r="F48" i="27" s="1"/>
  <c r="F49" i="27" s="1"/>
  <c r="S37" i="27"/>
  <c r="S38" i="27" s="1"/>
  <c r="R59" i="27"/>
  <c r="R63" i="27" s="1"/>
  <c r="R47" i="27"/>
  <c r="R48" i="27" s="1"/>
  <c r="R49" i="27" s="1"/>
  <c r="S50" i="27" s="1"/>
  <c r="R60" i="27"/>
  <c r="S47" i="27"/>
  <c r="S48" i="27" s="1"/>
  <c r="S49" i="27" s="1"/>
  <c r="BK51" i="24"/>
  <c r="BJ55" i="24"/>
  <c r="BJ54" i="24"/>
  <c r="BJ53" i="24"/>
  <c r="M50" i="21"/>
  <c r="M51" i="21" s="1"/>
  <c r="C38" i="4"/>
  <c r="B40" i="4"/>
  <c r="B39" i="4"/>
  <c r="U59" i="26"/>
  <c r="U60" i="26"/>
  <c r="U38" i="26"/>
  <c r="T39" i="26"/>
  <c r="T40" i="26"/>
  <c r="K51" i="30"/>
  <c r="J55" i="30"/>
  <c r="J54" i="30"/>
  <c r="J53" i="30"/>
  <c r="F40" i="19"/>
  <c r="F39" i="19"/>
  <c r="G38" i="19"/>
  <c r="AR54" i="24"/>
  <c r="AS51" i="24"/>
  <c r="AR53" i="24"/>
  <c r="AR55" i="24"/>
  <c r="N40" i="32"/>
  <c r="N39" i="32"/>
  <c r="O38" i="32"/>
  <c r="K51" i="34"/>
  <c r="J55" i="34"/>
  <c r="J53" i="34"/>
  <c r="J54" i="34"/>
  <c r="C39" i="15"/>
  <c r="C40" i="15"/>
  <c r="B54" i="24"/>
  <c r="O39" i="23"/>
  <c r="O40" i="23"/>
  <c r="K40" i="30"/>
  <c r="K39" i="30"/>
  <c r="Y39" i="26"/>
  <c r="Y40" i="26"/>
  <c r="G40" i="26"/>
  <c r="G39" i="26"/>
  <c r="H53" i="30"/>
  <c r="I51" i="30"/>
  <c r="H55" i="30"/>
  <c r="H54" i="30"/>
  <c r="AA38" i="20"/>
  <c r="Z40" i="20"/>
  <c r="AA39" i="20"/>
  <c r="AA40" i="20"/>
  <c r="Z39" i="20"/>
  <c r="D40" i="32"/>
  <c r="E38" i="32"/>
  <c r="D39" i="32"/>
  <c r="C50" i="34"/>
  <c r="F39" i="34"/>
  <c r="G60" i="34"/>
  <c r="G38" i="34"/>
  <c r="G59" i="34"/>
  <c r="F40" i="34"/>
  <c r="B54" i="14"/>
  <c r="B55" i="14"/>
  <c r="G50" i="17"/>
  <c r="G51" i="17" s="1"/>
  <c r="U39" i="23"/>
  <c r="U40" i="23"/>
  <c r="I40" i="28"/>
  <c r="I39" i="28"/>
  <c r="AQ38" i="20"/>
  <c r="AP39" i="20"/>
  <c r="AP40" i="20"/>
  <c r="K40" i="37"/>
  <c r="K39" i="37"/>
  <c r="M40" i="37"/>
  <c r="M39" i="37"/>
  <c r="C60" i="37"/>
  <c r="C59" i="37"/>
  <c r="B40" i="37"/>
  <c r="B39" i="37"/>
  <c r="C38" i="37"/>
  <c r="B55" i="37"/>
  <c r="B54" i="37"/>
  <c r="B53" i="37"/>
  <c r="C51" i="37"/>
  <c r="G60" i="36"/>
  <c r="G59" i="36"/>
  <c r="F40" i="36"/>
  <c r="F39" i="36"/>
  <c r="G38" i="36"/>
  <c r="F55" i="36"/>
  <c r="F54" i="36"/>
  <c r="F53" i="36"/>
  <c r="G51" i="36"/>
  <c r="C60" i="36"/>
  <c r="C59" i="36"/>
  <c r="B40" i="36"/>
  <c r="B39" i="36"/>
  <c r="C38" i="36"/>
  <c r="B55" i="36"/>
  <c r="B54" i="36"/>
  <c r="B53" i="36"/>
  <c r="C51" i="36"/>
  <c r="AL40" i="35"/>
  <c r="AL39" i="35"/>
  <c r="AM38" i="35"/>
  <c r="AL55" i="35"/>
  <c r="AL54" i="35"/>
  <c r="AL53" i="35"/>
  <c r="AM51" i="35"/>
  <c r="AH40" i="35"/>
  <c r="AH39" i="35"/>
  <c r="AI38" i="35"/>
  <c r="AH55" i="35"/>
  <c r="AH54" i="35"/>
  <c r="AH53" i="35"/>
  <c r="AI51" i="35"/>
  <c r="AE60" i="35"/>
  <c r="AE59" i="35"/>
  <c r="AD40" i="35"/>
  <c r="AD39" i="35"/>
  <c r="AE38" i="35"/>
  <c r="AD55" i="35"/>
  <c r="AD54" i="35"/>
  <c r="AD53" i="35"/>
  <c r="AE51" i="35"/>
  <c r="Z40" i="35"/>
  <c r="Z39" i="35"/>
  <c r="AA38" i="35"/>
  <c r="Z55" i="35"/>
  <c r="Z54" i="35"/>
  <c r="Z53" i="35"/>
  <c r="AA51" i="35"/>
  <c r="V40" i="35"/>
  <c r="V39" i="35"/>
  <c r="W38" i="35"/>
  <c r="V55" i="35"/>
  <c r="V54" i="35"/>
  <c r="V53" i="35"/>
  <c r="W51" i="35"/>
  <c r="R40" i="35"/>
  <c r="R39" i="35"/>
  <c r="S38" i="35"/>
  <c r="R55" i="35"/>
  <c r="R54" i="35"/>
  <c r="R53" i="35"/>
  <c r="S51" i="35"/>
  <c r="N40" i="35"/>
  <c r="N39" i="35"/>
  <c r="O38" i="35"/>
  <c r="N55" i="35"/>
  <c r="N54" i="35"/>
  <c r="N53" i="35"/>
  <c r="O51" i="35"/>
  <c r="J40" i="35"/>
  <c r="J39" i="35"/>
  <c r="K38" i="35"/>
  <c r="J55" i="35"/>
  <c r="J54" i="35"/>
  <c r="J53" i="35"/>
  <c r="K51" i="35"/>
  <c r="I60" i="35"/>
  <c r="I59" i="35"/>
  <c r="H40" i="35"/>
  <c r="H39" i="35"/>
  <c r="I38" i="35"/>
  <c r="H55" i="35"/>
  <c r="H54" i="35"/>
  <c r="H53" i="35"/>
  <c r="I51" i="35"/>
  <c r="C60" i="35"/>
  <c r="C59" i="35"/>
  <c r="B40" i="35"/>
  <c r="B39" i="35"/>
  <c r="C38" i="35"/>
  <c r="B55" i="35"/>
  <c r="C39" i="4" l="1"/>
  <c r="C40" i="4"/>
  <c r="BR39" i="27"/>
  <c r="BR40" i="27"/>
  <c r="BS38" i="27"/>
  <c r="BV53" i="27"/>
  <c r="BV54" i="27"/>
  <c r="BV55" i="27"/>
  <c r="BW51" i="27"/>
  <c r="CA38" i="27"/>
  <c r="BZ39" i="27"/>
  <c r="BZ40" i="27"/>
  <c r="C40" i="17"/>
  <c r="C39" i="17"/>
  <c r="C38" i="27"/>
  <c r="B39" i="27"/>
  <c r="B40" i="27"/>
  <c r="H55" i="32"/>
  <c r="H53" i="32"/>
  <c r="H54" i="32"/>
  <c r="I51" i="32"/>
  <c r="L60" i="34"/>
  <c r="L59" i="34"/>
  <c r="K39" i="34"/>
  <c r="K40" i="34"/>
  <c r="B53" i="4"/>
  <c r="C30" i="11" s="1"/>
  <c r="I43" i="12"/>
  <c r="I47" i="12"/>
  <c r="I48" i="12" s="1"/>
  <c r="I49" i="12" s="1"/>
  <c r="H47" i="12"/>
  <c r="H48" i="12" s="1"/>
  <c r="H49" i="12" s="1"/>
  <c r="C51" i="35"/>
  <c r="E39" i="32"/>
  <c r="E40" i="32"/>
  <c r="O40" i="27"/>
  <c r="O39" i="27"/>
  <c r="C39" i="19"/>
  <c r="C40" i="19"/>
  <c r="AP56" i="20"/>
  <c r="AP53" i="20"/>
  <c r="AP54" i="20"/>
  <c r="AP55" i="20"/>
  <c r="AQ51" i="20"/>
  <c r="AE50" i="27"/>
  <c r="AE51" i="27" s="1"/>
  <c r="AH53" i="20"/>
  <c r="Y39" i="19"/>
  <c r="Y40" i="19"/>
  <c r="T55" i="17"/>
  <c r="U51" i="17"/>
  <c r="T54" i="17"/>
  <c r="T53" i="17"/>
  <c r="D59" i="26"/>
  <c r="C40" i="26"/>
  <c r="C39" i="26"/>
  <c r="U51" i="26"/>
  <c r="T54" i="26"/>
  <c r="T53" i="26"/>
  <c r="T55" i="26"/>
  <c r="BQ50" i="27"/>
  <c r="J40" i="27"/>
  <c r="K38" i="27"/>
  <c r="G40" i="27" s="1"/>
  <c r="J39" i="27"/>
  <c r="C40" i="12"/>
  <c r="C39" i="12"/>
  <c r="N55" i="19"/>
  <c r="B56" i="4"/>
  <c r="B30" i="11" s="1"/>
  <c r="B55" i="4"/>
  <c r="E30" i="11" s="1"/>
  <c r="U50" i="27"/>
  <c r="U51" i="27" s="1"/>
  <c r="BD40" i="27"/>
  <c r="BE38" i="27"/>
  <c r="BD39" i="27"/>
  <c r="G40" i="34"/>
  <c r="G39" i="34"/>
  <c r="C39" i="20"/>
  <c r="C40" i="20"/>
  <c r="D60" i="32"/>
  <c r="D59" i="32"/>
  <c r="C39" i="32"/>
  <c r="C40" i="32"/>
  <c r="BE51" i="27"/>
  <c r="C43" i="12"/>
  <c r="C47" i="12"/>
  <c r="C48" i="12" s="1"/>
  <c r="C49" i="12" s="1"/>
  <c r="B47" i="12"/>
  <c r="B48" i="12" s="1"/>
  <c r="B49" i="12" s="1"/>
  <c r="C50" i="12" s="1"/>
  <c r="B53" i="35"/>
  <c r="AQ39" i="20"/>
  <c r="AQ40" i="20"/>
  <c r="G39" i="19"/>
  <c r="G40" i="19"/>
  <c r="BI50" i="27"/>
  <c r="BD53" i="27" s="1"/>
  <c r="O40" i="34"/>
  <c r="O39" i="34"/>
  <c r="K51" i="26"/>
  <c r="J55" i="26"/>
  <c r="J54" i="26"/>
  <c r="J53" i="26"/>
  <c r="BM50" i="27"/>
  <c r="I51" i="23"/>
  <c r="B53" i="23"/>
  <c r="B55" i="23"/>
  <c r="B54" i="23"/>
  <c r="BV40" i="27"/>
  <c r="BW38" i="27"/>
  <c r="BV39" i="27"/>
  <c r="N55" i="34"/>
  <c r="N53" i="34"/>
  <c r="N54" i="34"/>
  <c r="O51" i="34"/>
  <c r="I39" i="32"/>
  <c r="I40" i="32"/>
  <c r="F53" i="19"/>
  <c r="F55" i="19"/>
  <c r="F55" i="34"/>
  <c r="G51" i="34"/>
  <c r="F54" i="34"/>
  <c r="F53" i="34"/>
  <c r="I40" i="20"/>
  <c r="I39" i="20"/>
  <c r="AW50" i="27"/>
  <c r="AW51" i="27" s="1"/>
  <c r="BQ38" i="27"/>
  <c r="BP39" i="27"/>
  <c r="BP40" i="27"/>
  <c r="B54" i="19"/>
  <c r="B53" i="19"/>
  <c r="B55" i="19"/>
  <c r="B56" i="19"/>
  <c r="C51" i="19"/>
  <c r="N54" i="19"/>
  <c r="B54" i="4"/>
  <c r="D30" i="11" s="1"/>
  <c r="K43" i="12"/>
  <c r="K47" i="12"/>
  <c r="K48" i="12" s="1"/>
  <c r="K49" i="12" s="1"/>
  <c r="J47" i="12"/>
  <c r="J48" i="12" s="1"/>
  <c r="J49" i="12" s="1"/>
  <c r="K50" i="12" s="1"/>
  <c r="K51" i="12" s="1"/>
  <c r="R54" i="27"/>
  <c r="S51" i="27"/>
  <c r="BI38" i="27"/>
  <c r="BH39" i="27"/>
  <c r="BH40" i="27"/>
  <c r="BM38" i="27"/>
  <c r="BL39" i="27"/>
  <c r="BL40" i="27"/>
  <c r="AH54" i="20"/>
  <c r="B54" i="34"/>
  <c r="C51" i="34"/>
  <c r="B55" i="34"/>
  <c r="B53" i="34"/>
  <c r="O40" i="32"/>
  <c r="O39" i="32"/>
  <c r="V59" i="26"/>
  <c r="U40" i="26"/>
  <c r="U39" i="26"/>
  <c r="G50" i="27"/>
  <c r="G51" i="27" s="1"/>
  <c r="M39" i="20"/>
  <c r="M40" i="20"/>
  <c r="L59" i="26"/>
  <c r="K40" i="26"/>
  <c r="K39" i="26"/>
  <c r="B54" i="21"/>
  <c r="B53" i="21"/>
  <c r="B55" i="21"/>
  <c r="C51" i="21"/>
  <c r="Z53" i="20"/>
  <c r="Z54" i="20"/>
  <c r="Z55" i="20"/>
  <c r="AA51" i="20"/>
  <c r="Z56" i="20"/>
  <c r="C51" i="26"/>
  <c r="B54" i="26"/>
  <c r="B53" i="26"/>
  <c r="B55" i="26"/>
  <c r="AM51" i="27"/>
  <c r="AM53" i="27"/>
  <c r="AM54" i="27"/>
  <c r="AM55" i="27"/>
  <c r="M39" i="32"/>
  <c r="M40" i="32"/>
  <c r="AI40" i="20"/>
  <c r="AI39" i="20"/>
  <c r="F54" i="19"/>
  <c r="AH55" i="20"/>
  <c r="D59" i="34"/>
  <c r="D60" i="34"/>
  <c r="C40" i="34"/>
  <c r="C39" i="34"/>
  <c r="B53" i="20"/>
  <c r="B54" i="20"/>
  <c r="B56" i="20"/>
  <c r="B55" i="20"/>
  <c r="C51" i="20"/>
  <c r="K50" i="27"/>
  <c r="C51" i="27"/>
  <c r="B53" i="27"/>
  <c r="B55" i="27"/>
  <c r="B54" i="27"/>
  <c r="B53" i="17"/>
  <c r="B54" i="17"/>
  <c r="C51" i="17"/>
  <c r="B56" i="17"/>
  <c r="B55" i="17"/>
  <c r="M51" i="32"/>
  <c r="L55" i="32"/>
  <c r="L53" i="32"/>
  <c r="L54" i="32"/>
  <c r="X54" i="19"/>
  <c r="X55" i="19"/>
  <c r="Y51" i="19"/>
  <c r="X56" i="19"/>
  <c r="X53" i="19"/>
  <c r="E43" i="12"/>
  <c r="D47" i="12"/>
  <c r="D48" i="12" s="1"/>
  <c r="D49" i="12" s="1"/>
  <c r="E47" i="12"/>
  <c r="E48" i="12" s="1"/>
  <c r="E49" i="12" s="1"/>
  <c r="G43" i="12"/>
  <c r="F47" i="12"/>
  <c r="F48" i="12" s="1"/>
  <c r="F49" i="12" s="1"/>
  <c r="G50" i="12" s="1"/>
  <c r="G51" i="12" s="1"/>
  <c r="G47" i="12"/>
  <c r="G48" i="12" s="1"/>
  <c r="G49" i="12" s="1"/>
  <c r="Q43" i="12"/>
  <c r="Q47" i="12"/>
  <c r="Q48" i="12" s="1"/>
  <c r="Q49" i="12" s="1"/>
  <c r="P47" i="12"/>
  <c r="P48" i="12" s="1"/>
  <c r="P49" i="12" s="1"/>
  <c r="Q50" i="12" s="1"/>
  <c r="Q51" i="12" s="1"/>
  <c r="C39" i="16"/>
  <c r="C40" i="16"/>
  <c r="D60" i="37"/>
  <c r="D59" i="37"/>
  <c r="C40" i="37"/>
  <c r="C39" i="37"/>
  <c r="H60" i="36"/>
  <c r="H59" i="36"/>
  <c r="G40" i="36"/>
  <c r="G39" i="36"/>
  <c r="D60" i="36"/>
  <c r="D59" i="36"/>
  <c r="C40" i="36"/>
  <c r="C39" i="36"/>
  <c r="AI40" i="35"/>
  <c r="AI39" i="35"/>
  <c r="AM40" i="35"/>
  <c r="AM39" i="35"/>
  <c r="AE40" i="35"/>
  <c r="AE39" i="35"/>
  <c r="AA40" i="35"/>
  <c r="AA39" i="35"/>
  <c r="W40" i="35"/>
  <c r="W39" i="35"/>
  <c r="S40" i="35"/>
  <c r="S39" i="35"/>
  <c r="O40" i="35"/>
  <c r="O39" i="35"/>
  <c r="K40" i="35"/>
  <c r="K39" i="35"/>
  <c r="I40" i="35"/>
  <c r="I39" i="35"/>
  <c r="F60" i="35"/>
  <c r="F59" i="35"/>
  <c r="D60" i="35"/>
  <c r="D59" i="35"/>
  <c r="C40" i="35"/>
  <c r="C39" i="35"/>
  <c r="BI40" i="27" l="1"/>
  <c r="BI39" i="27"/>
  <c r="R53" i="27"/>
  <c r="BL55" i="27"/>
  <c r="BM51" i="27"/>
  <c r="BL53" i="27"/>
  <c r="BL54" i="27"/>
  <c r="BP55" i="27"/>
  <c r="BP54" i="27"/>
  <c r="BP53" i="27"/>
  <c r="BQ51" i="27"/>
  <c r="C39" i="27"/>
  <c r="C40" i="27"/>
  <c r="B44" i="12"/>
  <c r="B45" i="12"/>
  <c r="BM39" i="27"/>
  <c r="BM40" i="27"/>
  <c r="BQ39" i="27"/>
  <c r="BQ40" i="27"/>
  <c r="C51" i="12"/>
  <c r="B55" i="12"/>
  <c r="E29" i="11" s="1"/>
  <c r="BE40" i="27"/>
  <c r="BE39" i="27"/>
  <c r="CA39" i="27"/>
  <c r="CA40" i="27"/>
  <c r="BI51" i="27"/>
  <c r="BH53" i="27"/>
  <c r="BH54" i="27"/>
  <c r="BH55" i="27"/>
  <c r="BD54" i="27"/>
  <c r="E50" i="12"/>
  <c r="E51" i="12" s="1"/>
  <c r="J54" i="27"/>
  <c r="J55" i="27"/>
  <c r="K51" i="27"/>
  <c r="J53" i="27"/>
  <c r="R55" i="27"/>
  <c r="BW39" i="27"/>
  <c r="BW40" i="27"/>
  <c r="BD55" i="27"/>
  <c r="K39" i="27"/>
  <c r="K40" i="27"/>
  <c r="G39" i="27"/>
  <c r="I50" i="12"/>
  <c r="I51" i="12" s="1"/>
  <c r="BS39" i="27"/>
  <c r="BS40" i="27"/>
  <c r="B56" i="12" l="1"/>
  <c r="B29" i="11" s="1"/>
  <c r="B32" i="11" s="1"/>
  <c r="B54" i="12"/>
  <c r="D29" i="11" s="1"/>
  <c r="D32" i="11" s="1"/>
  <c r="E32" i="11"/>
  <c r="B53" i="12"/>
  <c r="C29" i="11" s="1"/>
</calcChain>
</file>

<file path=xl/comments1.xml><?xml version="1.0" encoding="utf-8"?>
<comments xmlns="http://schemas.openxmlformats.org/spreadsheetml/2006/main">
  <authors>
    <author>Steven.Hill</author>
  </authors>
  <commentList>
    <comment ref="O24" authorId="0">
      <text>
        <r>
          <rPr>
            <b/>
            <sz val="8"/>
            <color indexed="81"/>
            <rFont val="Tahoma"/>
            <family val="2"/>
          </rPr>
          <t>Steven.Hill:</t>
        </r>
        <r>
          <rPr>
            <sz val="8"/>
            <color indexed="81"/>
            <rFont val="Tahoma"/>
            <family val="2"/>
          </rPr>
          <t xml:space="preserve">
Needed to substract 180 degrees because measurement was done prior to image rotation.</t>
        </r>
      </text>
    </comment>
  </commentList>
</comments>
</file>

<file path=xl/sharedStrings.xml><?xml version="1.0" encoding="utf-8"?>
<sst xmlns="http://schemas.openxmlformats.org/spreadsheetml/2006/main" count="3436" uniqueCount="509">
  <si>
    <t>Gam Leo</t>
  </si>
  <si>
    <t>Primary</t>
  </si>
  <si>
    <t>Secondary</t>
  </si>
  <si>
    <t>Xi Uma</t>
  </si>
  <si>
    <t>Delta</t>
  </si>
  <si>
    <t>Squared</t>
  </si>
  <si>
    <t>Sep.</t>
  </si>
  <si>
    <t>PA</t>
  </si>
  <si>
    <t>arc sec / pixel</t>
  </si>
  <si>
    <t>Trapezium A-B</t>
  </si>
  <si>
    <t>Trapezium A-C</t>
  </si>
  <si>
    <t>Trapezium B-D</t>
  </si>
  <si>
    <t>Trapezium C-D</t>
  </si>
  <si>
    <t>Sep</t>
  </si>
  <si>
    <t>dRA,dDec</t>
  </si>
  <si>
    <t>RA</t>
  </si>
  <si>
    <t>DEC</t>
  </si>
  <si>
    <t>B,C,D</t>
  </si>
  <si>
    <t>A,B,C</t>
  </si>
  <si>
    <t>deg</t>
  </si>
  <si>
    <t>Castor</t>
  </si>
  <si>
    <t>http://www.astropix.com/HTML/B_WINTER/TRAPEZ.HTM</t>
  </si>
  <si>
    <t>Data for Trapezium</t>
  </si>
  <si>
    <t>Theta 2 Ori</t>
  </si>
  <si>
    <t>http://www.alcyone.de/cgi-bin/search.pl?object=HR1852</t>
  </si>
  <si>
    <t>Data for Mintaka (Delta Ori)</t>
  </si>
  <si>
    <t>Data for Theta 2 Ori</t>
  </si>
  <si>
    <t>DATA SOURCES FOR DOUBLE STARS WITH NO ORBIT DETERMINED:</t>
  </si>
  <si>
    <t>Eta Ori</t>
  </si>
  <si>
    <t>Mintaka</t>
  </si>
  <si>
    <t>Data for Eta Ori - orbit data is for Aa pair, not Aa-B pair. Position is for 1989.</t>
  </si>
  <si>
    <t>Rigel</t>
  </si>
  <si>
    <t>Cartesian</t>
  </si>
  <si>
    <t>Alnitak</t>
  </si>
  <si>
    <t>Stats.</t>
  </si>
  <si>
    <t>Residuals</t>
  </si>
  <si>
    <t>Statistics</t>
  </si>
  <si>
    <t>EPHEMERIDES</t>
  </si>
  <si>
    <t xml:space="preserve">PLATE SCALE AND ROTATION </t>
  </si>
  <si>
    <t>RAW MEASUREMENTS</t>
  </si>
  <si>
    <t>NOTES</t>
  </si>
  <si>
    <t>There may have been an alignment change in the camera orientation between measuring Rigel and subsequent measurements since the residual is so large.</t>
  </si>
  <si>
    <t>Sep. (arc sec)</t>
  </si>
  <si>
    <t>PA (deg)</t>
  </si>
  <si>
    <t>Cartesian (arc sec)</t>
  </si>
  <si>
    <t>Cart. Error (arc sec)</t>
  </si>
  <si>
    <t>Error^2 (arc sec ^2)</t>
  </si>
  <si>
    <t>Abs Error (arc sec)</t>
  </si>
  <si>
    <t>Fract. Error (%)</t>
  </si>
  <si>
    <t>Data was taken from Alcyone site.  PA is slowly advancing. 204 degrees is from 1990. In 1822 it was 198 deg.</t>
  </si>
  <si>
    <t>Sep. Error (arc sec)</t>
  </si>
  <si>
    <t>Sep. Error (%)</t>
  </si>
  <si>
    <t>Sep. Error Stdev (arc sec, %)</t>
  </si>
  <si>
    <t>Sep. Error Mean (arc sec, %)</t>
  </si>
  <si>
    <t>REDUCED MEASUREMENTS and ERRORS</t>
  </si>
  <si>
    <t>PA Error (deg)</t>
  </si>
  <si>
    <t>PA Error Mean (deg)</t>
  </si>
  <si>
    <t>PA Error Stdev (deg)</t>
  </si>
  <si>
    <t>Measured on an image that had been rotated by 180deg to put north generally 'up.'</t>
  </si>
  <si>
    <t xml:space="preserve">Measured on an unrotated image, i.e., one that had south nearly 'up.' Thus, 180 is subtracted in the computation of the PA above. </t>
  </si>
  <si>
    <t>Vert.</t>
  </si>
  <si>
    <t>Horiz.</t>
  </si>
  <si>
    <t>E-W</t>
  </si>
  <si>
    <t>N-S</t>
  </si>
  <si>
    <t>ROTATION</t>
  </si>
  <si>
    <t>PLATE SCALE</t>
  </si>
  <si>
    <t>Theta 2 Ori B</t>
  </si>
  <si>
    <t>Weights</t>
  </si>
  <si>
    <t>Weighted PS</t>
  </si>
  <si>
    <t>Weighted Statistics PS</t>
  </si>
  <si>
    <t>Weighted PA</t>
  </si>
  <si>
    <t>Weighted Statistics PA</t>
  </si>
  <si>
    <t>Residuals from Weighted PS</t>
  </si>
  <si>
    <t>Residuals from Weighted PA</t>
  </si>
  <si>
    <t>Data from Cartes du Ceil from Tycho 2 catalog.</t>
  </si>
  <si>
    <t>Eps 1 Lyr</t>
  </si>
  <si>
    <t>Eps 2 Lyr</t>
  </si>
  <si>
    <t>Eps 1-2 Lyr</t>
  </si>
  <si>
    <t>Measured on an image that had been rotated by 180deg to put north generally 'up.'
Reduced uncertainties by factor of 2 by using IDL to sum columns and pick maximum value.</t>
  </si>
  <si>
    <t>Radius</t>
  </si>
  <si>
    <t>Measurements</t>
  </si>
  <si>
    <t>Average total Error</t>
  </si>
  <si>
    <t>Std Dev total error</t>
  </si>
  <si>
    <t>Weight</t>
  </si>
  <si>
    <t>Date</t>
  </si>
  <si>
    <t>Avg</t>
  </si>
  <si>
    <t>Stdev</t>
  </si>
  <si>
    <t>Nmeas</t>
  </si>
  <si>
    <t>Aggregate</t>
  </si>
  <si>
    <t>Median total Error</t>
  </si>
  <si>
    <t>Median</t>
  </si>
  <si>
    <t>Bet Lyr A-B</t>
  </si>
  <si>
    <t>Bet Lyr 10.61 - 10.12mV</t>
  </si>
  <si>
    <t>Bet Lyr 10.12mV - A</t>
  </si>
  <si>
    <t>Bet Lyr B - 10.61mV</t>
  </si>
  <si>
    <t>Mu Dra</t>
  </si>
  <si>
    <t>BU648</t>
  </si>
  <si>
    <t>BU648_.BMP. Probable non-detection. Only visible on highly processed enlarged image.  Measurement likely to have been on image processing artifact.  As such, data are not included in global solution.</t>
  </si>
  <si>
    <t>Mu Dra Drift</t>
  </si>
  <si>
    <t>Bet Lyr Drift</t>
  </si>
  <si>
    <t>BLYR_LVA.TIF - measured with IDL XTV. Data taken at 2000mm FL.</t>
  </si>
  <si>
    <t>MuDra_20070919_Settings1_0000thru0003_Stack100_LV8Xsmoothed_Wavelets.bmp - measured with IDL XTV. Data taken at 2000mm FL.</t>
  </si>
  <si>
    <t>BLYR_LVB.TIF (avoids saturation effects) - measured with IDL XTV. Data taken at 2000mm FL.</t>
  </si>
  <si>
    <t>Measured on an image that had been rotated by 180deg to put north generally 'up.' Measured mostly in IDL and XTV.</t>
  </si>
  <si>
    <t>&lt;=0.25</t>
  </si>
  <si>
    <t>.25&lt;=0.5</t>
  </si>
  <si>
    <t>.5&lt;=0.75</t>
  </si>
  <si>
    <t>.75&lt;=1.0</t>
  </si>
  <si>
    <t>1.0&lt;=1.25</t>
  </si>
  <si>
    <t>1.25&lt;=1.5</t>
  </si>
  <si>
    <t>&gt;1.5</t>
  </si>
  <si>
    <t>Zet Her Drift 0</t>
  </si>
  <si>
    <t>Zet Her Drift 2</t>
  </si>
  <si>
    <t>Zet Her Orientation 1</t>
  </si>
  <si>
    <t>Zeta Her Orientation 2</t>
  </si>
  <si>
    <t>Avg. Wt'd Sep (arcsec)</t>
  </si>
  <si>
    <t>Std Dev. Wt'd Sep (arcsec)</t>
  </si>
  <si>
    <t>Avg. Wt'd PA (deg)</t>
  </si>
  <si>
    <t>Std Dev. Wt'd PA (deg)</t>
  </si>
  <si>
    <t>Weighted ROT</t>
  </si>
  <si>
    <t>Weighted Statistics ROT</t>
  </si>
  <si>
    <t>Residuals from Weighted ROT</t>
  </si>
  <si>
    <t>Mizar</t>
  </si>
  <si>
    <t>Mizar Drift</t>
  </si>
  <si>
    <t>PA only! Drift time was not controlled.</t>
  </si>
  <si>
    <t>Alpha Her Drift</t>
  </si>
  <si>
    <t>Alpha Her</t>
  </si>
  <si>
    <t>70 Oph</t>
  </si>
  <si>
    <t>70 Oph Drift</t>
  </si>
  <si>
    <t>Zet Her</t>
  </si>
  <si>
    <t>Need ephemeris</t>
  </si>
  <si>
    <t>Statistics (Drift Only)</t>
  </si>
  <si>
    <t>Stats. (Stars Only)</t>
  </si>
  <si>
    <t>Antares</t>
  </si>
  <si>
    <t>Eps Lyr Drift 0000</t>
  </si>
  <si>
    <t>Eps Lyr Drift 0001</t>
  </si>
  <si>
    <t>Using drift &amp; ephem</t>
  </si>
  <si>
    <t>Using Only Drift</t>
  </si>
  <si>
    <t>BU648 0000thru0003</t>
  </si>
  <si>
    <t>BU648 Drift 0000</t>
  </si>
  <si>
    <t>BU648 0004thru0007</t>
  </si>
  <si>
    <t xml:space="preserve">Reanalysis using IDL Astro library cntrd.pro program. Reduced uncertainties to 63% of those using LVIEW point-and-click. </t>
  </si>
  <si>
    <t>Appears to be a false detection, only chance would be to look at red fringe 90 deg away. 'False' detection at 646, 523. Possible true detection (enhanced &amp; reddened airey ring) at 656,532. Not used in plate scale or overall error computations.</t>
  </si>
  <si>
    <t>Reanalyzed using cntrd.pro.  Yielded somewhat worse (22%) than LVIEW results.</t>
  </si>
  <si>
    <t>Reanalysis using cntrd.pro did not work well.  Probably due to close proximity of Xi UMa components. Also, would have been better if drift had been done to constrain rotation and plate scale better.  These results are not used in future analyses.</t>
  </si>
  <si>
    <t>Mu Draconis</t>
  </si>
  <si>
    <t>Mu Draconis Drift</t>
  </si>
  <si>
    <t>BU648 Orientation 1</t>
  </si>
  <si>
    <t>BU648 Drift 1a</t>
  </si>
  <si>
    <t>BU648 Drift 1b</t>
  </si>
  <si>
    <t>BU648 Orientation 2</t>
  </si>
  <si>
    <t>BU648 Drift 2</t>
  </si>
  <si>
    <t>Difficult detection.  Secondary seen as elongation to primary. Confusing segments of diffraction rings seen also.</t>
  </si>
  <si>
    <t>Very questionable detection.  Probably should eliminate from analysis. Confusing segments of diffraction rings seen.</t>
  </si>
  <si>
    <t>Lam Cyg Orientation 1</t>
  </si>
  <si>
    <t>Lam Cyg Orientation 2</t>
  </si>
  <si>
    <t>Lam Cyg Drift 2</t>
  </si>
  <si>
    <t>Lam Cyg Drift 1</t>
  </si>
  <si>
    <t>61 Cyg</t>
  </si>
  <si>
    <t>61 Cyg A Drift</t>
  </si>
  <si>
    <t>Eps Lyr 1</t>
  </si>
  <si>
    <t>Eps Lyr 1 Drift</t>
  </si>
  <si>
    <t>Eps Lyr 2</t>
  </si>
  <si>
    <t>Eps Lyr 2 Drift</t>
  </si>
  <si>
    <t>Mu Cyg Orientation 1</t>
  </si>
  <si>
    <t>Mu Cyg Drift 1</t>
  </si>
  <si>
    <t>Mu Cyg Orientation 2</t>
  </si>
  <si>
    <t>Mu Cyg Drift 2</t>
  </si>
  <si>
    <t xml:space="preserve">Used 6th WDS Orbit catalog - 5th had gross errors.  Still only grade 4 orbit (preliminary). </t>
  </si>
  <si>
    <t>Used IDL centroiding</t>
  </si>
  <si>
    <t>Del Cyg</t>
  </si>
  <si>
    <t>Del Cyg Drift 1</t>
  </si>
  <si>
    <t>Del Cyg Drift 2</t>
  </si>
  <si>
    <t>Strange detection.  Appears that Registax created double star images for primary and secondary.  Secondary can be see (twice) under very strong gamma and contrast adjustment.  Appears to be in the right place. Should re-stack these data and re-analyze.</t>
  </si>
  <si>
    <t>26 Dra Orientation 1</t>
  </si>
  <si>
    <t>26 Dra Drift 1</t>
  </si>
  <si>
    <t>26 Dra Orientation 2</t>
  </si>
  <si>
    <t>26 Dra Drift 2</t>
  </si>
  <si>
    <t>Used 26 Dra Drift 2 Orientation for rotation.</t>
  </si>
  <si>
    <t>20 Dra Orientation</t>
  </si>
  <si>
    <t>Zet Her Drift</t>
  </si>
  <si>
    <t>Very questionable detection. Could easily be artifact. Mag difference may be too much, at least for the seeing experienced this night.</t>
  </si>
  <si>
    <t>99 Her Orientation 1</t>
  </si>
  <si>
    <t>99 Her Drift 1</t>
  </si>
  <si>
    <t>99 Her Orientation 2</t>
  </si>
  <si>
    <t>99 Her Drift 2</t>
  </si>
  <si>
    <t>STF 2173</t>
  </si>
  <si>
    <t>What Drift do I use? Using 70 Ophiuchus drift works quite well, but using 99 Her drift is off by 90 deg.  Need to double check timing on this observation.</t>
  </si>
  <si>
    <t>Eta Cas</t>
  </si>
  <si>
    <t>Gam And</t>
  </si>
  <si>
    <t>Eta Cas Drift 5 sec</t>
  </si>
  <si>
    <t>Eta Cas Drift 8 sec</t>
  </si>
  <si>
    <t>Gam And Drift</t>
  </si>
  <si>
    <t>STF202</t>
  </si>
  <si>
    <t>Iot Cas</t>
  </si>
  <si>
    <t>Eta Ori 1</t>
  </si>
  <si>
    <t>Eta Ori 1 Drift</t>
  </si>
  <si>
    <t>Eta Ori 2</t>
  </si>
  <si>
    <t>Eta Ori 2 Drift</t>
  </si>
  <si>
    <t>32 Ori 2</t>
  </si>
  <si>
    <t>32 Ori 3 Drift</t>
  </si>
  <si>
    <t>32 Ori 3</t>
  </si>
  <si>
    <t>32 Ori 2 Drift</t>
  </si>
  <si>
    <t>Castor 3</t>
  </si>
  <si>
    <t>Castor 3 Drift</t>
  </si>
  <si>
    <t>38 Gem 3</t>
  </si>
  <si>
    <t>Zet Can 3</t>
  </si>
  <si>
    <t>Zet Can 3 Drift</t>
  </si>
  <si>
    <t>Location analysis done in IDL using centroid software (Binary_stars.pro).</t>
  </si>
  <si>
    <t>Measured in LVIEW.  Challenge because of E-W alignment of primary and secondary.</t>
  </si>
  <si>
    <t>Used older version of ephemeris because latest version is quite problematic.</t>
  </si>
  <si>
    <t>No orbit determined for this outer pair.  Inner pair not resolvable (~0.1"). Ephemeris data is from Tycho via Cartes du Ciel.</t>
  </si>
  <si>
    <t>DON'T USE COMPUTED PS AND ROT IN STATISTICS DUE TO POOR EPHEMERIDES.</t>
  </si>
  <si>
    <t>Measured in LVIEW.  Decided to reverse primary and secondary in measurement because of apparent 180 deg ambiguity.  Certainly possible due to relatively similar magnitudes and poor seeing.</t>
  </si>
  <si>
    <t>DON'T USE PS IN STATISTICS BECAUSE IT APPEARS TO BE AN OUTLIER AND COULD BE DUE TO BAD REFERENCE ASTROMETRY.</t>
  </si>
  <si>
    <t>DON'T USE PS OR ROT IN STATISTICS BECAUSE DIFFICULTY IN MEASUREMENT.</t>
  </si>
  <si>
    <t>Measured in LVIEW.</t>
  </si>
  <si>
    <t>Measured in LVIEW. Very ambiguous detection.  Could be artifact.  Consious choice to select this artifact after it seemed to fit expectations better.</t>
  </si>
  <si>
    <t>Nearby Star</t>
  </si>
  <si>
    <t>Needs to be reprocessed with out stretching.  No secondary  evident in stretched images.</t>
  </si>
  <si>
    <t>Eta Cas 1</t>
  </si>
  <si>
    <t xml:space="preserve">Eta Cas 1 Ref Star 1  </t>
  </si>
  <si>
    <t>Eta Cas 2</t>
  </si>
  <si>
    <t xml:space="preserve">Eta Cas 2 Ref Star 1  </t>
  </si>
  <si>
    <t xml:space="preserve">Eta Cas 1 Ref Star 2  </t>
  </si>
  <si>
    <t>Eta Cas 2 Ref Star 2</t>
  </si>
  <si>
    <t>Eta Cas 3</t>
  </si>
  <si>
    <t xml:space="preserve">Eta Cas 3 Ref Star 1  </t>
  </si>
  <si>
    <t>Eta Cas 3 Ref Star 2</t>
  </si>
  <si>
    <t>Eta Cas 4</t>
  </si>
  <si>
    <t xml:space="preserve">Eta Cas 4 Ref Star 1  </t>
  </si>
  <si>
    <t>Eta Cas 4 Ref Star 2</t>
  </si>
  <si>
    <t>Rigel 3</t>
  </si>
  <si>
    <t>Location analysis done using LVIEW</t>
  </si>
  <si>
    <t>Alnitak 3</t>
  </si>
  <si>
    <t xml:space="preserve">Measured in LVIEW.  </t>
  </si>
  <si>
    <t>Alnitak 4</t>
  </si>
  <si>
    <t xml:space="preserve">Measured in LVIEW.  Very poor measurement, blurred image, only an elongated oval. </t>
  </si>
  <si>
    <t>Alnitak 4 Drift</t>
  </si>
  <si>
    <t>Location analysis done in LVIEW</t>
  </si>
  <si>
    <t>Zet Can A-B 5</t>
  </si>
  <si>
    <t>Zet Can A-C 5</t>
  </si>
  <si>
    <t>Zet Can 5 Drift</t>
  </si>
  <si>
    <t>Zet Can A-C 6</t>
  </si>
  <si>
    <t>Zet Can A-B 6</t>
  </si>
  <si>
    <t>Sirius 4</t>
  </si>
  <si>
    <t>Sirius 4 Drift</t>
  </si>
  <si>
    <t>Sirius 5</t>
  </si>
  <si>
    <t>Sirius 5 Drift</t>
  </si>
  <si>
    <t>Eta Gem 6 Drift</t>
  </si>
  <si>
    <t>Eta Gem 6</t>
  </si>
  <si>
    <t>Eta Gem 7 Drift</t>
  </si>
  <si>
    <t>Eta Gem 7</t>
  </si>
  <si>
    <t>Del Gem 7</t>
  </si>
  <si>
    <t>Del Gem 8 Drift</t>
  </si>
  <si>
    <t>Del Gem 8</t>
  </si>
  <si>
    <t>Eps Hya 8</t>
  </si>
  <si>
    <t>Eps Hya 9</t>
  </si>
  <si>
    <t>Eps Hya 9 Drift</t>
  </si>
  <si>
    <t>Location analysis done in LVIEW. Secondary is very faint, but identifiable.</t>
  </si>
  <si>
    <t>Measured in LVIEW.  No detection.</t>
  </si>
  <si>
    <t>12 Lyn A-B 9</t>
  </si>
  <si>
    <t>12 Lyn AB-C 9</t>
  </si>
  <si>
    <t>12 Lyn 9 Drift</t>
  </si>
  <si>
    <t>12 Lyn A-B 10</t>
  </si>
  <si>
    <t>12 Lyn AB-C 10</t>
  </si>
  <si>
    <t>12 Lyn 10 Drift</t>
  </si>
  <si>
    <t>No orbit elements found. Used data from http://www.alcyone.de/SIT/ for 1990.</t>
  </si>
  <si>
    <t>Castor 10</t>
  </si>
  <si>
    <t>Castor 10 Drift</t>
  </si>
  <si>
    <t>Castor 11</t>
  </si>
  <si>
    <t>Castor 11 Drift</t>
  </si>
  <si>
    <t>Used IDL (Binary_stars.pro). But used green band for primary and red band for secondary since secondary is very red and dim. Ha!  The red star is a nearby field star far too far from the primary.  9th magnitude!  Confirmed against sep, PA measures on CDC. Actual secondary (measured with LVIEW) shows merely as a bump.</t>
  </si>
  <si>
    <t>Measured in LVIEW.  No independent measures of plate scale or PA were made.</t>
  </si>
  <si>
    <t>Plate scale was assigned to be 0.115 based on estimate of mean from all other measurements at 5500mm. Rotation was left free.</t>
  </si>
  <si>
    <t>Gam Leo 1</t>
  </si>
  <si>
    <t>Gam Leo 1 Drift</t>
  </si>
  <si>
    <t>Gam Leo 2</t>
  </si>
  <si>
    <t>Gam Leo 2 Drift</t>
  </si>
  <si>
    <t>Measured in IDL</t>
  </si>
  <si>
    <t>Xi Uma 2</t>
  </si>
  <si>
    <t>Xi Uma 2 Drift</t>
  </si>
  <si>
    <t>Xi Uma 3</t>
  </si>
  <si>
    <t>Xi Uma 3 Drift</t>
  </si>
  <si>
    <t xml:space="preserve">Data was taken from Alcyone site. </t>
  </si>
  <si>
    <t>54 Leo 3</t>
  </si>
  <si>
    <t>Iota Leo 4</t>
  </si>
  <si>
    <t>Iota Leo 4 Drift</t>
  </si>
  <si>
    <t>Iota Leo 5</t>
  </si>
  <si>
    <t>Iota Leo 5 Drift</t>
  </si>
  <si>
    <t>Measured in LVIEW</t>
  </si>
  <si>
    <t>Xi Boo Rot 1</t>
  </si>
  <si>
    <t>Xi Boo Rot 1 Drift</t>
  </si>
  <si>
    <t>44 Boo Rot 1</t>
  </si>
  <si>
    <t>44 Boo Rot 1 Drift</t>
  </si>
  <si>
    <t>Del Ser Rot 1</t>
  </si>
  <si>
    <t>Del Ser Rot 1 Drift</t>
  </si>
  <si>
    <t>Sig CrB Rot 1 Drift</t>
  </si>
  <si>
    <t>Eta CrB Rot 1</t>
  </si>
  <si>
    <t>Eta CrB Rot 2</t>
  </si>
  <si>
    <t>Eta CrB Rot 2 Drift</t>
  </si>
  <si>
    <t>Gam CrB Rot 2</t>
  </si>
  <si>
    <t>Gam CrB Rot 2 Drift</t>
  </si>
  <si>
    <t>Gam CrB Rot 3</t>
  </si>
  <si>
    <t>Gam CrB Rot 3 Drift</t>
  </si>
  <si>
    <t>Zet CrB Rot 3</t>
  </si>
  <si>
    <t>Zet CrB Rot 3 Drift</t>
  </si>
  <si>
    <t>Zet Her Rot 3</t>
  </si>
  <si>
    <t>Zet Her Rot 4</t>
  </si>
  <si>
    <t>Lam Oph Rot 4</t>
  </si>
  <si>
    <t>Lam Oph 4 Drift</t>
  </si>
  <si>
    <t>Zet  Her 4 Drift</t>
  </si>
  <si>
    <t>Zet  Her 3 Drift</t>
  </si>
  <si>
    <t>Mu Dra Rot 4</t>
  </si>
  <si>
    <t>Mu Dra 4 Drift</t>
  </si>
  <si>
    <t>70 Oph Rot 4</t>
  </si>
  <si>
    <t>70 Oph 4 Drift</t>
  </si>
  <si>
    <t>Alp Her Rot 4</t>
  </si>
  <si>
    <t>Alp Her 4 Drift</t>
  </si>
  <si>
    <t>BU648 Rot 4</t>
  </si>
  <si>
    <t>BU 648 4 Drift</t>
  </si>
  <si>
    <t>BU648 Rot 5</t>
  </si>
  <si>
    <t>BU 648 5 Drift</t>
  </si>
  <si>
    <t>Sig CrB Rot 1</t>
  </si>
  <si>
    <t>Eps Lyr 1 (B) 4 Drift</t>
  </si>
  <si>
    <t>Eps Lyr 2 (A) Rot 4</t>
  </si>
  <si>
    <t>Eps Lyr 1 (B) Rot 4</t>
  </si>
  <si>
    <t>Tough measurement, needed help to confirm using 'rotational occulationa filtering in IDL'</t>
  </si>
  <si>
    <t>Measured in LVIEW. Only visible as oval.</t>
  </si>
  <si>
    <t>Eta CrB Rot 2, Set 2</t>
  </si>
  <si>
    <t>IDL measurement</t>
  </si>
  <si>
    <t>Faint, but very clear detection. Measured in LVIEW</t>
  </si>
  <si>
    <t>Detection difficult.  May be artifact?</t>
  </si>
  <si>
    <t>Zet Her Rot 4 Ref, set 2</t>
  </si>
  <si>
    <t>Zet Her Rot 4 Ref, set 3</t>
  </si>
  <si>
    <t>Uncertain detection</t>
  </si>
  <si>
    <t>Zet Her Rot 4 Ref. Drift</t>
  </si>
  <si>
    <t>Pretty Definite Detection</t>
  </si>
  <si>
    <t>Very poor measurement, probable non-detection!!!
DON’T USE FOR PS OR ROT</t>
  </si>
  <si>
    <t>BU648 Rot 1</t>
  </si>
  <si>
    <t>BU648 Drift Rot 2</t>
  </si>
  <si>
    <t>BU648 Rot 2</t>
  </si>
  <si>
    <t>Eps Lyr Rot 1</t>
  </si>
  <si>
    <t>Eps Lyr A (1) Rot 1</t>
  </si>
  <si>
    <t>Eps Lyr B (2) Rot 1</t>
  </si>
  <si>
    <t>BU648 Rotated Combined</t>
  </si>
  <si>
    <t>Done soley as a confirmation of individual measurments</t>
  </si>
  <si>
    <t>Del Cyg Rot 2</t>
  </si>
  <si>
    <t>Del Cyg Rot 3</t>
  </si>
  <si>
    <t>Del Cyg Rot 3 Drift</t>
  </si>
  <si>
    <t>Albireo</t>
  </si>
  <si>
    <t>Albireo Pri. Drift</t>
  </si>
  <si>
    <t>Albireo Sec. Drift</t>
  </si>
  <si>
    <t>Ephemeris from Tycho II catalog in CDC.</t>
  </si>
  <si>
    <t>Final measurement with IDL Binary_Stars.pro</t>
  </si>
  <si>
    <t>Castor Drift Primary</t>
  </si>
  <si>
    <t>Castor Drift Secondary</t>
  </si>
  <si>
    <t>RMS</t>
  </si>
  <si>
    <t>RMS error</t>
  </si>
  <si>
    <t>Eta Cas Drift Primary</t>
  </si>
  <si>
    <t>Initial measurement with LVIEW</t>
  </si>
  <si>
    <t>STF 3062</t>
  </si>
  <si>
    <t>Iot Cas A-B</t>
  </si>
  <si>
    <t>Iot Cas A-C</t>
  </si>
  <si>
    <t>Data from Alcyone website for 1983.  Substantial movement may have happened since.</t>
  </si>
  <si>
    <t>Iot Cas Drift</t>
  </si>
  <si>
    <t>38 Gem</t>
  </si>
  <si>
    <t>Castor Drift</t>
  </si>
  <si>
    <t>Eta Gem</t>
  </si>
  <si>
    <t>Eta Gem Drift</t>
  </si>
  <si>
    <t>Zet Cnc A-C</t>
  </si>
  <si>
    <t>Zet Cnc A-B</t>
  </si>
  <si>
    <t>Final measurement with IDL</t>
  </si>
  <si>
    <t>Zet Cnc Drift</t>
  </si>
  <si>
    <t>Eps Hya Drift</t>
  </si>
  <si>
    <t>12 Lyn Drift</t>
  </si>
  <si>
    <t>12 Lyn A-B</t>
  </si>
  <si>
    <t>12 Lyn A-C</t>
  </si>
  <si>
    <t>Eta CrB Drift 1</t>
  </si>
  <si>
    <t xml:space="preserve">Eta CrB 1 </t>
  </si>
  <si>
    <t xml:space="preserve">Eta CrB 2 </t>
  </si>
  <si>
    <t>Eta CrB Drift 2</t>
  </si>
  <si>
    <t>Final measurement with LVIEW</t>
  </si>
  <si>
    <t>Zet Her Drift 3</t>
  </si>
  <si>
    <t xml:space="preserve">Zet Her 3 </t>
  </si>
  <si>
    <t>Zet Her 2</t>
  </si>
  <si>
    <t xml:space="preserve">Mu Dra 4 </t>
  </si>
  <si>
    <t>Mu Dra Drift 4</t>
  </si>
  <si>
    <t xml:space="preserve">70 Oph 4 </t>
  </si>
  <si>
    <t>70 Oph Drift 4</t>
  </si>
  <si>
    <t>Gam Leo R1 Drift1</t>
  </si>
  <si>
    <t>Gam Leo R1 Drift2</t>
  </si>
  <si>
    <t>Initial LVIEW Measurement</t>
  </si>
  <si>
    <t>Gam Leo R1 Meas 1</t>
  </si>
  <si>
    <t>Gam Leo R1 Meas 2</t>
  </si>
  <si>
    <t>Iot Leo R1</t>
  </si>
  <si>
    <t>Iot Leo R1 Drift</t>
  </si>
  <si>
    <t>Iot Leo R2</t>
  </si>
  <si>
    <t>Iot Leo R2 Drift</t>
  </si>
  <si>
    <t>Final LVIEW Measurement</t>
  </si>
  <si>
    <t>Eta Cas Rot 1</t>
  </si>
  <si>
    <t>Eta Cas Rot 1 Drift  1</t>
  </si>
  <si>
    <t>Eta Cas Rot 1 Drift  2</t>
  </si>
  <si>
    <t>STF 3062 Rot 1</t>
  </si>
  <si>
    <t>STF 3062 Rot 2</t>
  </si>
  <si>
    <t>STF 3062 Rot 2 Drift 1</t>
  </si>
  <si>
    <t>Iot Cas Rot 2</t>
  </si>
  <si>
    <t>Iot Cas Rot 3</t>
  </si>
  <si>
    <t>Iot Cas Rot 2 Drift 1</t>
  </si>
  <si>
    <t>Eta Gem Rot 3'a'</t>
  </si>
  <si>
    <t>Eta Gem Rot 3'a' Drift 1</t>
  </si>
  <si>
    <t>Eta Gem Rot 4</t>
  </si>
  <si>
    <t>Eta Gem Rot 4 Drift 1</t>
  </si>
  <si>
    <t>Iot Cas Rot 3 Drift 1</t>
  </si>
  <si>
    <t>Final measurement with LVIEW; Very poor quality outlier, disregard</t>
  </si>
  <si>
    <t>38 Gem Rot 4</t>
  </si>
  <si>
    <t>38 Gem Rot 4 Drift 1</t>
  </si>
  <si>
    <t>38 Gem Rot 5</t>
  </si>
  <si>
    <t>38 Gem Rot 5 Drift 1</t>
  </si>
  <si>
    <t>Castor Rot 5</t>
  </si>
  <si>
    <t>Castor Rot 5 Drift 1</t>
  </si>
  <si>
    <t>Final measurement with MaximDL aperture photometry</t>
  </si>
  <si>
    <t>Xi UMa Rot1</t>
  </si>
  <si>
    <t>Xi UMa Rot1 Drift 1</t>
  </si>
  <si>
    <t>Porima Rot1</t>
  </si>
  <si>
    <t>Porima Rot1 Drift 1</t>
  </si>
  <si>
    <t>Alp Her Rot 1</t>
  </si>
  <si>
    <t>Alp Her Rot1 Drift 1</t>
  </si>
  <si>
    <t>70 Oph Drift 1</t>
  </si>
  <si>
    <t>Eps Lyr 1 Rot 1</t>
  </si>
  <si>
    <t>Eps Lyr 2 Rot 2</t>
  </si>
  <si>
    <t>Final measurement with MaximDL aperture photometry - no centroid on secondary - accurate only to nearest pixel - wavelets processingn insufficient to bring out secondary</t>
  </si>
  <si>
    <t>Vega Rot 1 Drift</t>
  </si>
  <si>
    <t>70 Oph Rot 1</t>
  </si>
  <si>
    <t>Final measurement with MaximDL aperture photometry - used wavelets processed image to bring out secondary.  Had to do two-star alignement to get scaling right for NIR.  Used green as scaling reference</t>
  </si>
  <si>
    <t>Zet Cnc AB-C</t>
  </si>
  <si>
    <t>Zet Cnc AB</t>
  </si>
  <si>
    <t>Final measurement with MaximDL aperture photometry on 
Castor-20120309-1260mm-120sec-rot1set1-_0000thru0001-DarkStack600-WaveletsAfter.bmp</t>
  </si>
  <si>
    <t>Final measurement with MaximDL aperture photometry
ZetCnc-20120309-1260mm-120sec-rot1set2-_0000thru0001-DarkStack600-StrongWaveletsAfter.bmp</t>
  </si>
  <si>
    <t>Xi UMa Drift</t>
  </si>
  <si>
    <t>TestA</t>
  </si>
  <si>
    <t>Baseline 5500mm FL configuration</t>
  </si>
  <si>
    <t>TestA with 5500mm FL configuration except including the focal reducer in the optical train.  Also should note that measurement was done in MaximDL after rotating the image by 180 degrees and enlarging it by a factor of two.</t>
  </si>
  <si>
    <t>Castor A-B</t>
  </si>
  <si>
    <t>Castor A-C (YY GEM)</t>
  </si>
  <si>
    <t>Castor A-RefStar</t>
  </si>
  <si>
    <t>X</t>
  </si>
  <si>
    <t>Y</t>
  </si>
  <si>
    <t xml:space="preserve">NIR 300ms
MaximDL centroid used for A, nearest pixel for B.
Image resized 2x. </t>
  </si>
  <si>
    <t>NIR 300ms
Image resized 2x. 
MaximDL centroid used
Refstar is TYC 2543-454-1</t>
  </si>
  <si>
    <t xml:space="preserve">NIR 300ms
Image resized 2x. 
MaximDL centroid used
</t>
  </si>
  <si>
    <t>1241?</t>
  </si>
  <si>
    <t xml:space="preserve">NIR 1000ms
Image resized 2x. 
MaximDL centroid used
</t>
  </si>
  <si>
    <t>NIR 1000ms
Image resized 2x. 
MaximDL centroid used
Refstar is TYC 2543-454-1</t>
  </si>
  <si>
    <t>NIR 1000ms
Nearest pixel for A and B.
Image resized 2x. 
Castor A a bit saturated.</t>
  </si>
  <si>
    <t xml:space="preserve">Halpha 3000ms
MaximDL centroid used for A, nearest 1/2 pixel for B.
Image resized 2x. </t>
  </si>
  <si>
    <t xml:space="preserve">Methane 60000ms
MaximDL centroid used for A, nearest 1/2 pixel for B.
Image resized 2x. </t>
  </si>
  <si>
    <t xml:space="preserve">Methane 60000ms
Image resized 2x. 
MaximDL centroid used
</t>
  </si>
  <si>
    <t>Methan 60000ms
Image resized 2x. 
MaximDL centroid used
Refstar is TYC 2543-454-1</t>
  </si>
  <si>
    <t xml:space="preserve">Halpha 3000ms
Image resized 2x. 
MaximDL centroid used
</t>
  </si>
  <si>
    <t>Halpha 3000ms
Image resized 2x. 
MaximDL centroid used
Refstar is TYC 2543-454-1</t>
  </si>
  <si>
    <t xml:space="preserve">Blue 100ms
MaximDL centroid used for A, nearest 1/2 pixel for B.
Image resized 2x. </t>
  </si>
  <si>
    <t>Error (O-C)</t>
  </si>
  <si>
    <t>Std Err</t>
  </si>
  <si>
    <r>
      <t>NIR Stack from YY Gem 130 light curve observations</t>
    </r>
    <r>
      <rPr>
        <b/>
        <sz val="8"/>
        <color rgb="FFC00000"/>
        <rFont val="Calibri"/>
        <family val="2"/>
      </rPr>
      <t xml:space="preserve"> (650 sec integration time!)</t>
    </r>
    <r>
      <rPr>
        <sz val="8"/>
        <color indexed="8"/>
        <rFont val="Calibri"/>
        <family val="2"/>
      </rPr>
      <t xml:space="preserve">
MaximDL nearest pixel used for both A &amp; B.  Image was saturated so best guesses here.
Image resized 2x. </t>
    </r>
  </si>
  <si>
    <t xml:space="preserve">NIR 300ms
MaximDL centroid used for A and B.
Image resized 2x. </t>
  </si>
  <si>
    <t xml:space="preserve">Red 100ms
Image resized 2x. 
MaximDL centroid used
</t>
  </si>
  <si>
    <t>Red 100ms
Image resized 2x. 
MaximDL centroid used
Refstar is TYC 2543-454-1</t>
  </si>
  <si>
    <t xml:space="preserve">Red 100ms
MaximDL centroid used for A &amp; B
Image resized 2x. </t>
  </si>
  <si>
    <t xml:space="preserve">Red 300ms
MaximDL centroid used for A &amp; B
Image resized 2x. </t>
  </si>
  <si>
    <t xml:space="preserve">Red 300ms
Image resized 2x. 
MaximDL centroid used
</t>
  </si>
  <si>
    <t>Red 300ms
Image resized 2x. 
MaximDL centroid used
Refstar is TYC 2543-454-1</t>
  </si>
  <si>
    <t xml:space="preserve">Red 1000ms
Image resized 2x. 
MaximDL centroid used
</t>
  </si>
  <si>
    <t>Red 1000ms
Image resized 2x. 
MaximDL centroid used
Refstar is TYC 2543-454-1</t>
  </si>
  <si>
    <t xml:space="preserve">Red 1000ms
MaximDL nearest pixel - some saturation, but clearly separate stars.
Image resized 2x. </t>
  </si>
  <si>
    <t xml:space="preserve">Green 100ms
Image resized 2x. 
MaximDL centroid used
</t>
  </si>
  <si>
    <t>Green 100ms
Image resized 2x. 
MaximDL centroid used
Refstar is TYC 2543-454-1</t>
  </si>
  <si>
    <t xml:space="preserve">Green 100ms (Files and FITS headers are mislabeled "Clear")
MaximDL Centroid on A &amp; B
Image resized 2x. </t>
  </si>
  <si>
    <t xml:space="preserve">Clear 30ms (Files and FITS headers are mislabeled "Green")
MaximDL Centroid on A &amp; B
Image resized 2x. </t>
  </si>
  <si>
    <t>Zet Her Rot 1</t>
  </si>
  <si>
    <t>Zet Her Rot 1 DRIFT</t>
  </si>
  <si>
    <t>Zet Her Rot 2</t>
  </si>
  <si>
    <t>Zet Her Rot 2 DRIFT</t>
  </si>
  <si>
    <t>Eta CrB Rot 3</t>
  </si>
  <si>
    <t>Eta CrB Rot 3 DRIFT</t>
  </si>
  <si>
    <t>Lam Oph Rot 3</t>
  </si>
  <si>
    <t>Eps 2 Lyr (B)</t>
  </si>
  <si>
    <t>Eps 1 Lyr (A)</t>
  </si>
  <si>
    <t>Vega Drift</t>
  </si>
  <si>
    <t>Measured in MaximDL using aperture photometry for centroids.</t>
  </si>
  <si>
    <t>Over exposure and width of drift streak decrease accuracy and required some judgement on determining the length.  PA was less affected.</t>
  </si>
  <si>
    <t>Vega Alternate Measure</t>
  </si>
  <si>
    <t>Eps 2 Lyr (A)</t>
  </si>
  <si>
    <t>Eps 1 Lyr (B)</t>
  </si>
  <si>
    <t>70 Oph Rot 1 DRIFT</t>
  </si>
  <si>
    <t>Eps 1 Lyr (B) Drift</t>
  </si>
  <si>
    <t>BU 648 Rot 1</t>
  </si>
  <si>
    <t>BU 648 Rot 2</t>
  </si>
  <si>
    <t>Measured in MaximDL using aperture photometry for centroid of primary, and to nearest pixel by eye for secondary</t>
  </si>
  <si>
    <t>BU 648 Rot 2 Drift</t>
  </si>
  <si>
    <t>Mu Dra Rot 2</t>
  </si>
  <si>
    <t>Mu Dra Rot 2 Drift</t>
  </si>
  <si>
    <t>Mu Cyg Rot 2</t>
  </si>
  <si>
    <t>Measured in MaximDL using nearest pixel by eye.  Tried using aperture photometry for centroids, but it seemed biased by the diffraction ring of the primary.</t>
  </si>
  <si>
    <t>61 Cyg Rot 2</t>
  </si>
  <si>
    <t>Eta Cas Rot 2</t>
  </si>
  <si>
    <t>Eta Cas 8s Rot 2 Drift</t>
  </si>
  <si>
    <t>Eta Cas 5s Rot 2 Drift</t>
  </si>
  <si>
    <t>Measured in MaximDL using aperture photometry for centroids. Seems that somehow the BMP image got rotated by 180 degrees. Manually corrected.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</si>
</sst>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
  </numFmts>
  <fonts count="42" x14ac:knownFonts="1">
    <font>
      <sz val="11"/>
      <color theme="1"/>
      <name val="Calibri"/>
      <family val="2"/>
      <scheme val="minor"/>
    </font>
    <font>
      <sz val="8"/>
      <color indexed="81"/>
      <name val="Tahoma"/>
      <family val="2"/>
    </font>
    <font>
      <b/>
      <sz val="8"/>
      <color indexed="81"/>
      <name val="Tahoma"/>
      <family val="2"/>
    </font>
    <font>
      <sz val="11"/>
      <color indexed="8"/>
      <name val="Calibri"/>
      <family val="2"/>
    </font>
    <font>
      <b/>
      <sz val="11"/>
      <color indexed="8"/>
      <name val="Calibri"/>
      <family val="2"/>
    </font>
    <font>
      <sz val="11"/>
      <color indexed="10"/>
      <name val="Calibri"/>
      <family val="2"/>
    </font>
    <font>
      <sz val="12"/>
      <color indexed="8"/>
      <name val="Times New Roman"/>
      <family val="1"/>
    </font>
    <font>
      <sz val="11"/>
      <name val="Calibri"/>
      <family val="2"/>
    </font>
    <font>
      <sz val="8"/>
      <color indexed="8"/>
      <name val="Calibri"/>
      <family val="2"/>
    </font>
    <font>
      <sz val="12"/>
      <color indexed="8"/>
      <name val="Calibri"/>
      <family val="2"/>
    </font>
    <font>
      <sz val="8"/>
      <name val="Calibri"/>
      <family val="2"/>
    </font>
    <font>
      <sz val="8"/>
      <color indexed="8"/>
      <name val="Times New Roman"/>
      <family val="1"/>
    </font>
    <font>
      <b/>
      <sz val="11"/>
      <color indexed="10"/>
      <name val="Calibri"/>
      <family val="2"/>
    </font>
    <font>
      <sz val="8"/>
      <color indexed="10"/>
      <name val="Calibri"/>
      <family val="2"/>
    </font>
    <font>
      <sz val="11"/>
      <color indexed="49"/>
      <name val="Calibri"/>
      <family val="2"/>
    </font>
    <font>
      <sz val="8"/>
      <color indexed="49"/>
      <name val="Calibri"/>
      <family val="2"/>
    </font>
    <font>
      <b/>
      <sz val="11"/>
      <color indexed="49"/>
      <name val="Calibri"/>
      <family val="2"/>
    </font>
    <font>
      <sz val="11"/>
      <color indexed="62"/>
      <name val="Calibri"/>
      <family val="2"/>
    </font>
    <font>
      <b/>
      <sz val="11"/>
      <name val="Calibri"/>
      <family val="2"/>
    </font>
    <font>
      <b/>
      <sz val="11"/>
      <color indexed="8"/>
      <name val="Calibri"/>
      <family val="2"/>
    </font>
    <font>
      <sz val="11"/>
      <color indexed="10"/>
      <name val="Calibri"/>
      <family val="2"/>
    </font>
    <font>
      <sz val="11"/>
      <color indexed="49"/>
      <name val="Calibri"/>
      <family val="2"/>
    </font>
    <font>
      <sz val="11"/>
      <name val="Calibri"/>
      <family val="2"/>
    </font>
    <font>
      <sz val="11"/>
      <color indexed="49"/>
      <name val="Calibri"/>
      <family val="2"/>
    </font>
    <font>
      <sz val="8"/>
      <color indexed="10"/>
      <name val="Calibri"/>
      <family val="2"/>
    </font>
    <font>
      <b/>
      <sz val="11"/>
      <color theme="1"/>
      <name val="Calibri"/>
      <family val="2"/>
      <scheme val="minor"/>
    </font>
    <font>
      <b/>
      <sz val="11"/>
      <color rgb="FFC00000"/>
      <name val="Calibri"/>
      <family val="2"/>
    </font>
    <font>
      <sz val="11"/>
      <color rgb="FFC00000"/>
      <name val="Calibri"/>
      <family val="2"/>
      <scheme val="minor"/>
    </font>
    <font>
      <sz val="11"/>
      <color rgb="FFC00000"/>
      <name val="Calibri"/>
      <family val="2"/>
    </font>
    <font>
      <sz val="8"/>
      <color rgb="FFC00000"/>
      <name val="Calibri"/>
      <family val="2"/>
    </font>
    <font>
      <sz val="11"/>
      <name val="Calibri"/>
      <family val="2"/>
      <scheme val="minor"/>
    </font>
    <font>
      <sz val="11"/>
      <color rgb="FFFF0000"/>
      <name val="Calibri"/>
      <family val="2"/>
      <scheme val="minor"/>
    </font>
    <font>
      <b/>
      <sz val="11"/>
      <color rgb="FFFF0000"/>
      <name val="Calibri"/>
      <family val="2"/>
    </font>
    <font>
      <sz val="11"/>
      <color rgb="FFFF0000"/>
      <name val="Calibri"/>
      <family val="2"/>
    </font>
    <font>
      <sz val="8"/>
      <color rgb="FFFF0000"/>
      <name val="Calibri"/>
      <family val="2"/>
    </font>
    <font>
      <sz val="11"/>
      <color rgb="FF006100"/>
      <name val="Calibri"/>
      <family val="2"/>
      <scheme val="minor"/>
    </font>
    <font>
      <sz val="11"/>
      <color rgb="FF9C0006"/>
      <name val="Calibri"/>
      <family val="2"/>
      <scheme val="minor"/>
    </font>
    <font>
      <b/>
      <sz val="11"/>
      <color theme="3"/>
      <name val="Calibri"/>
      <family val="2"/>
      <scheme val="minor"/>
    </font>
    <font>
      <b/>
      <sz val="11"/>
      <color theme="5"/>
      <name val="Calibri"/>
      <family val="2"/>
      <scheme val="minor"/>
    </font>
    <font>
      <b/>
      <sz val="11"/>
      <color theme="3"/>
      <name val="Calibri"/>
      <family val="2"/>
    </font>
    <font>
      <b/>
      <sz val="8"/>
      <color rgb="FFC00000"/>
      <name val="Calibri"/>
      <family val="2"/>
    </font>
    <font>
      <sz val="11"/>
      <color rgb="FF9C6500"/>
      <name val="Calibri"/>
      <family val="2"/>
      <scheme val="minor"/>
    </font>
  </fonts>
  <fills count="10">
    <fill>
      <patternFill patternType="none"/>
    </fill>
    <fill>
      <patternFill patternType="gray125"/>
    </fill>
    <fill>
      <patternFill patternType="solid">
        <fgColor indexed="55"/>
        <bgColor indexed="64"/>
      </patternFill>
    </fill>
    <fill>
      <patternFill patternType="solid">
        <fgColor indexed="50"/>
        <bgColor indexed="64"/>
      </patternFill>
    </fill>
    <fill>
      <patternFill patternType="solid">
        <fgColor indexed="47"/>
        <bgColor indexed="64"/>
      </patternFill>
    </fill>
    <fill>
      <patternFill patternType="solid">
        <fgColor indexed="5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5">
    <xf numFmtId="0" fontId="0" fillId="0" borderId="0"/>
    <xf numFmtId="9" fontId="3" fillId="0" borderId="0" applyFont="0" applyFill="0" applyBorder="0" applyAlignment="0" applyProtection="0"/>
    <xf numFmtId="0" fontId="35" fillId="7" borderId="0" applyNumberFormat="0" applyBorder="0" applyAlignment="0" applyProtection="0"/>
    <xf numFmtId="0" fontId="36" fillId="8" borderId="0" applyNumberFormat="0" applyBorder="0" applyAlignment="0" applyProtection="0"/>
    <xf numFmtId="0" fontId="41" fillId="9" borderId="0" applyNumberFormat="0" applyBorder="0" applyAlignment="0" applyProtection="0"/>
  </cellStyleXfs>
  <cellXfs count="436">
    <xf numFmtId="0" fontId="0" fillId="0" borderId="0" xfId="0"/>
    <xf numFmtId="0" fontId="0" fillId="0" borderId="0" xfId="0" applyAlignment="1">
      <alignment horizontal="center"/>
    </xf>
    <xf numFmtId="0" fontId="0" fillId="0" borderId="0" xfId="0" applyNumberFormat="1"/>
    <xf numFmtId="0" fontId="6" fillId="0" borderId="0" xfId="0" applyFont="1"/>
    <xf numFmtId="2" fontId="0" fillId="0" borderId="0" xfId="0" applyNumberFormat="1"/>
    <xf numFmtId="165" fontId="0" fillId="0" borderId="0" xfId="0" applyNumberFormat="1"/>
    <xf numFmtId="16" fontId="0" fillId="0" borderId="0" xfId="0" applyNumberFormat="1" applyAlignment="1">
      <alignment horizontal="center"/>
    </xf>
    <xf numFmtId="0" fontId="4" fillId="0" borderId="0" xfId="0" applyFont="1"/>
    <xf numFmtId="2" fontId="0" fillId="0" borderId="0" xfId="0" applyNumberFormat="1" applyFill="1"/>
    <xf numFmtId="0" fontId="7" fillId="0" borderId="0" xfId="0" applyFont="1" applyAlignment="1">
      <alignment vertical="center"/>
    </xf>
    <xf numFmtId="0" fontId="0" fillId="0" borderId="0" xfId="0" applyFont="1"/>
    <xf numFmtId="9" fontId="7" fillId="0" borderId="0" xfId="1" applyFont="1" applyAlignment="1">
      <alignment vertical="center"/>
    </xf>
    <xf numFmtId="9" fontId="5" fillId="0" borderId="0" xfId="1" applyFont="1" applyAlignment="1">
      <alignment vertical="center"/>
    </xf>
    <xf numFmtId="0" fontId="0" fillId="0" borderId="0" xfId="0" applyAlignment="1">
      <alignment horizontal="right"/>
    </xf>
    <xf numFmtId="0" fontId="8" fillId="0" borderId="0" xfId="0" applyFont="1" applyAlignment="1">
      <alignment horizontal="left" vertical="top" wrapText="1"/>
    </xf>
    <xf numFmtId="0" fontId="0" fillId="0" borderId="0" xfId="0" applyFont="1" applyAlignment="1">
      <alignment horizontal="left" vertical="top" wrapText="1"/>
    </xf>
    <xf numFmtId="0" fontId="9" fillId="0" borderId="0" xfId="0" applyFont="1" applyAlignment="1">
      <alignment vertical="top" wrapText="1"/>
    </xf>
    <xf numFmtId="0" fontId="8" fillId="0" borderId="0" xfId="0" applyFont="1" applyAlignment="1">
      <alignment vertical="top" wrapText="1"/>
    </xf>
    <xf numFmtId="0" fontId="4" fillId="2" borderId="0" xfId="0" applyFont="1" applyFill="1"/>
    <xf numFmtId="0" fontId="0" fillId="2" borderId="0" xfId="0" applyFill="1"/>
    <xf numFmtId="0" fontId="4" fillId="2" borderId="0" xfId="0" applyFont="1" applyFill="1" applyAlignment="1"/>
    <xf numFmtId="0" fontId="10" fillId="0" borderId="0" xfId="0" applyFont="1" applyAlignment="1">
      <alignment horizontal="left" vertical="top" wrapText="1"/>
    </xf>
    <xf numFmtId="0" fontId="11" fillId="0" borderId="0" xfId="0" applyFont="1" applyAlignment="1">
      <alignment horizontal="left" vertical="top" wrapText="1"/>
    </xf>
    <xf numFmtId="166" fontId="3" fillId="0" borderId="0" xfId="1" applyNumberFormat="1" applyFont="1"/>
    <xf numFmtId="164" fontId="8" fillId="0" borderId="0" xfId="0" applyNumberFormat="1" applyFont="1" applyAlignment="1">
      <alignment horizontal="left" vertical="top" wrapText="1"/>
    </xf>
    <xf numFmtId="2" fontId="7" fillId="3" borderId="0" xfId="0" applyNumberFormat="1" applyFont="1" applyFill="1"/>
    <xf numFmtId="2" fontId="0" fillId="3" borderId="0" xfId="0" applyNumberFormat="1" applyFill="1"/>
    <xf numFmtId="0" fontId="0" fillId="0" borderId="0" xfId="0" applyFill="1" applyAlignment="1">
      <alignment horizontal="right"/>
    </xf>
    <xf numFmtId="0" fontId="0" fillId="0" borderId="0" xfId="0" applyFill="1"/>
    <xf numFmtId="0" fontId="7" fillId="0" borderId="0" xfId="0" applyFont="1"/>
    <xf numFmtId="0" fontId="7" fillId="0" borderId="0" xfId="0" applyFont="1" applyFill="1"/>
    <xf numFmtId="2" fontId="7" fillId="0" borderId="0" xfId="0" applyNumberFormat="1" applyFont="1" applyFill="1"/>
    <xf numFmtId="0" fontId="4" fillId="0" borderId="0" xfId="0" applyFont="1" applyFill="1" applyAlignment="1"/>
    <xf numFmtId="0" fontId="8" fillId="0" borderId="0" xfId="0" applyFont="1" applyFill="1" applyAlignment="1">
      <alignment vertical="top" wrapText="1"/>
    </xf>
    <xf numFmtId="0" fontId="0" fillId="0" borderId="0" xfId="0" applyFill="1" applyAlignment="1">
      <alignment horizontal="center"/>
    </xf>
    <xf numFmtId="0" fontId="8" fillId="0" borderId="0" xfId="0" applyFont="1" applyFill="1" applyAlignment="1">
      <alignment horizontal="left" vertical="top" wrapText="1"/>
    </xf>
    <xf numFmtId="0" fontId="0" fillId="0" borderId="0" xfId="0" applyFont="1" applyFill="1"/>
    <xf numFmtId="0" fontId="0" fillId="0" borderId="0" xfId="0" applyFill="1" applyAlignment="1"/>
    <xf numFmtId="0" fontId="0" fillId="0" borderId="0" xfId="0" quotePrefix="1" applyFill="1"/>
    <xf numFmtId="0" fontId="0" fillId="0" borderId="0" xfId="0" quotePrefix="1" applyFill="1" applyAlignment="1">
      <alignment horizontal="right"/>
    </xf>
    <xf numFmtId="165" fontId="7" fillId="0" borderId="0" xfId="0" applyNumberFormat="1" applyFont="1" applyFill="1"/>
    <xf numFmtId="0" fontId="5" fillId="0" borderId="0" xfId="0" applyFont="1"/>
    <xf numFmtId="0" fontId="5" fillId="0" borderId="0" xfId="0" applyFont="1" applyAlignment="1">
      <alignment vertical="center"/>
    </xf>
    <xf numFmtId="0" fontId="12" fillId="0" borderId="0" xfId="0" applyFont="1"/>
    <xf numFmtId="0" fontId="13" fillId="0" borderId="0" xfId="0" applyFont="1" applyAlignment="1">
      <alignment horizontal="left" vertical="top" wrapText="1"/>
    </xf>
    <xf numFmtId="2" fontId="5" fillId="0" borderId="0" xfId="0" applyNumberFormat="1" applyFont="1"/>
    <xf numFmtId="166" fontId="5" fillId="0" borderId="0" xfId="1" applyNumberFormat="1" applyFont="1"/>
    <xf numFmtId="0" fontId="14" fillId="2" borderId="0" xfId="0" applyFont="1" applyFill="1"/>
    <xf numFmtId="0" fontId="14" fillId="0" borderId="0" xfId="0" applyFont="1" applyAlignment="1">
      <alignment horizontal="right"/>
    </xf>
    <xf numFmtId="0" fontId="14" fillId="0" borderId="0" xfId="0" applyFont="1"/>
    <xf numFmtId="0" fontId="14" fillId="0" borderId="0" xfId="0" applyFont="1" applyAlignment="1">
      <alignment horizontal="center"/>
    </xf>
    <xf numFmtId="0" fontId="15" fillId="0" borderId="0" xfId="0" applyFont="1" applyAlignment="1">
      <alignment horizontal="left" vertical="top" wrapText="1"/>
    </xf>
    <xf numFmtId="0" fontId="16" fillId="0" borderId="0" xfId="0" applyFont="1"/>
    <xf numFmtId="0" fontId="17" fillId="0" borderId="0" xfId="0" applyFont="1"/>
    <xf numFmtId="0" fontId="7" fillId="2" borderId="0" xfId="0" applyFont="1" applyFill="1"/>
    <xf numFmtId="0" fontId="7" fillId="0" borderId="0" xfId="0" applyFont="1" applyAlignment="1">
      <alignment horizontal="right"/>
    </xf>
    <xf numFmtId="0" fontId="7" fillId="0" borderId="0" xfId="0" applyFont="1" applyAlignment="1">
      <alignment horizontal="center"/>
    </xf>
    <xf numFmtId="2" fontId="7" fillId="0" borderId="0" xfId="0" applyNumberFormat="1" applyFont="1"/>
    <xf numFmtId="166" fontId="7" fillId="0" borderId="0" xfId="1" applyNumberFormat="1" applyFont="1"/>
    <xf numFmtId="0" fontId="14" fillId="2" borderId="1" xfId="0" applyFont="1" applyFill="1" applyBorder="1"/>
    <xf numFmtId="0" fontId="14" fillId="2" borderId="2" xfId="0" applyFont="1" applyFill="1" applyBorder="1"/>
    <xf numFmtId="0" fontId="14" fillId="0" borderId="0" xfId="0" applyFont="1" applyBorder="1" applyAlignment="1">
      <alignment horizontal="right"/>
    </xf>
    <xf numFmtId="0" fontId="14" fillId="0" borderId="3" xfId="0" applyFont="1" applyBorder="1" applyAlignment="1">
      <alignment horizontal="right"/>
    </xf>
    <xf numFmtId="0" fontId="14" fillId="0" borderId="0" xfId="0" applyFont="1" applyBorder="1"/>
    <xf numFmtId="0" fontId="14" fillId="0" borderId="3" xfId="0" applyFont="1" applyBorder="1"/>
    <xf numFmtId="0" fontId="15" fillId="0" borderId="0" xfId="0" applyFont="1" applyBorder="1" applyAlignment="1">
      <alignment horizontal="left" vertical="top" wrapText="1"/>
    </xf>
    <xf numFmtId="0" fontId="15" fillId="0" borderId="3" xfId="0" applyFont="1" applyBorder="1" applyAlignment="1">
      <alignment horizontal="left" vertical="top" wrapText="1"/>
    </xf>
    <xf numFmtId="0" fontId="14" fillId="2" borderId="0" xfId="0" applyFont="1" applyFill="1" applyBorder="1"/>
    <xf numFmtId="0" fontId="14" fillId="2" borderId="3" xfId="0" applyFont="1" applyFill="1" applyBorder="1"/>
    <xf numFmtId="0" fontId="14" fillId="0" borderId="0" xfId="0" applyFont="1" applyBorder="1" applyAlignment="1">
      <alignment horizontal="center"/>
    </xf>
    <xf numFmtId="0" fontId="14" fillId="0" borderId="3" xfId="0" applyFont="1" applyBorder="1" applyAlignment="1">
      <alignment horizontal="center"/>
    </xf>
    <xf numFmtId="0" fontId="7" fillId="0" borderId="4" xfId="0" applyFont="1" applyBorder="1" applyAlignment="1">
      <alignment vertical="center"/>
    </xf>
    <xf numFmtId="0" fontId="7" fillId="0" borderId="0" xfId="0" applyFont="1" applyBorder="1" applyAlignment="1">
      <alignment vertical="center"/>
    </xf>
    <xf numFmtId="0" fontId="7" fillId="0" borderId="4" xfId="0" applyFont="1" applyBorder="1"/>
    <xf numFmtId="0" fontId="7" fillId="0" borderId="0" xfId="0" applyFont="1" applyBorder="1"/>
    <xf numFmtId="0" fontId="16" fillId="0" borderId="0" xfId="0" applyFont="1" applyBorder="1"/>
    <xf numFmtId="0" fontId="16" fillId="0" borderId="3" xfId="0" applyFont="1" applyBorder="1"/>
    <xf numFmtId="9" fontId="7" fillId="0" borderId="0" xfId="1" applyFont="1" applyBorder="1" applyAlignment="1">
      <alignment vertical="center"/>
    </xf>
    <xf numFmtId="0" fontId="14" fillId="0" borderId="5" xfId="0" applyFont="1" applyBorder="1"/>
    <xf numFmtId="0" fontId="14" fillId="0" borderId="6" xfId="0" applyFont="1" applyBorder="1"/>
    <xf numFmtId="0" fontId="7" fillId="2" borderId="7" xfId="0" applyFont="1" applyFill="1" applyBorder="1"/>
    <xf numFmtId="0" fontId="7" fillId="2" borderId="1" xfId="0" applyFont="1" applyFill="1" applyBorder="1"/>
    <xf numFmtId="0" fontId="7" fillId="0" borderId="4" xfId="0" applyFont="1" applyBorder="1" applyAlignment="1">
      <alignment horizontal="right"/>
    </xf>
    <xf numFmtId="0" fontId="7" fillId="0" borderId="0" xfId="0" applyFont="1" applyBorder="1" applyAlignment="1">
      <alignment horizontal="right"/>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7" fillId="2" borderId="4" xfId="0" applyFont="1" applyFill="1" applyBorder="1"/>
    <xf numFmtId="0" fontId="7" fillId="2" borderId="0" xfId="0" applyFont="1" applyFill="1" applyBorder="1"/>
    <xf numFmtId="0" fontId="7" fillId="0" borderId="4" xfId="0" applyFont="1" applyBorder="1" applyAlignment="1">
      <alignment horizontal="center"/>
    </xf>
    <xf numFmtId="0" fontId="7" fillId="0" borderId="0" xfId="0" applyFont="1" applyBorder="1" applyAlignment="1">
      <alignment horizontal="center"/>
    </xf>
    <xf numFmtId="164" fontId="7" fillId="0" borderId="0" xfId="0" applyNumberFormat="1" applyFont="1" applyBorder="1"/>
    <xf numFmtId="0" fontId="18" fillId="0" borderId="4" xfId="0" applyFont="1" applyBorder="1"/>
    <xf numFmtId="0" fontId="18" fillId="0" borderId="0" xfId="0" applyFont="1" applyBorder="1"/>
    <xf numFmtId="2" fontId="7" fillId="0" borderId="0" xfId="0" applyNumberFormat="1" applyFont="1" applyBorder="1"/>
    <xf numFmtId="166" fontId="7" fillId="0" borderId="0" xfId="1" applyNumberFormat="1" applyFont="1" applyBorder="1"/>
    <xf numFmtId="0" fontId="7" fillId="0" borderId="8" xfId="0" applyFont="1" applyBorder="1"/>
    <xf numFmtId="0" fontId="7" fillId="0" borderId="5" xfId="0" applyFont="1" applyBorder="1"/>
    <xf numFmtId="0" fontId="14" fillId="0" borderId="0" xfId="0" applyFont="1" applyBorder="1" applyAlignment="1">
      <alignment vertical="center"/>
    </xf>
    <xf numFmtId="0" fontId="14" fillId="0" borderId="3" xfId="0" applyFont="1" applyBorder="1" applyAlignment="1">
      <alignment vertical="center"/>
    </xf>
    <xf numFmtId="166" fontId="14" fillId="0" borderId="0" xfId="1" applyNumberFormat="1" applyFont="1" applyBorder="1"/>
    <xf numFmtId="2" fontId="7" fillId="0" borderId="4" xfId="0" applyNumberFormat="1" applyFont="1" applyBorder="1"/>
    <xf numFmtId="2" fontId="14" fillId="0" borderId="0" xfId="0" applyNumberFormat="1" applyFont="1" applyBorder="1"/>
    <xf numFmtId="2" fontId="14" fillId="0" borderId="3" xfId="0" applyNumberFormat="1" applyFont="1" applyBorder="1"/>
    <xf numFmtId="166" fontId="14" fillId="0" borderId="3" xfId="1" applyNumberFormat="1" applyFont="1" applyBorder="1"/>
    <xf numFmtId="9" fontId="14" fillId="0" borderId="0" xfId="1" applyFont="1" applyBorder="1" applyAlignment="1">
      <alignment vertical="center"/>
    </xf>
    <xf numFmtId="9" fontId="14" fillId="0" borderId="3" xfId="1" applyFont="1" applyBorder="1" applyAlignment="1">
      <alignment vertical="center"/>
    </xf>
    <xf numFmtId="2" fontId="14" fillId="0" borderId="0" xfId="0" applyNumberFormat="1" applyFont="1"/>
    <xf numFmtId="0" fontId="10" fillId="0" borderId="0" xfId="0" applyFont="1" applyAlignment="1">
      <alignment vertical="top" wrapText="1"/>
    </xf>
    <xf numFmtId="0" fontId="15" fillId="0" borderId="0" xfId="0" applyFont="1" applyAlignment="1">
      <alignment vertical="top" wrapText="1"/>
    </xf>
    <xf numFmtId="164" fontId="7" fillId="0" borderId="0" xfId="0" applyNumberFormat="1" applyFont="1"/>
    <xf numFmtId="164" fontId="0" fillId="0" borderId="0" xfId="0" applyNumberFormat="1"/>
    <xf numFmtId="0" fontId="17" fillId="0" borderId="0" xfId="0" applyFont="1" applyBorder="1"/>
    <xf numFmtId="164" fontId="4" fillId="0" borderId="0" xfId="0" applyNumberFormat="1" applyFont="1"/>
    <xf numFmtId="0" fontId="4" fillId="2" borderId="7" xfId="0" applyFont="1" applyFill="1" applyBorder="1" applyAlignment="1"/>
    <xf numFmtId="0" fontId="4" fillId="2" borderId="1" xfId="0" applyFont="1" applyFill="1" applyBorder="1" applyAlignment="1"/>
    <xf numFmtId="0" fontId="0" fillId="0" borderId="4" xfId="0" applyFill="1" applyBorder="1" applyAlignment="1">
      <alignment horizontal="right"/>
    </xf>
    <xf numFmtId="0" fontId="0" fillId="0" borderId="0" xfId="0" applyFill="1" applyBorder="1" applyAlignment="1">
      <alignment horizontal="right"/>
    </xf>
    <xf numFmtId="0" fontId="0" fillId="0" borderId="4" xfId="0" applyBorder="1"/>
    <xf numFmtId="0" fontId="0" fillId="0" borderId="0" xfId="0" applyBorder="1"/>
    <xf numFmtId="0" fontId="4" fillId="2" borderId="4" xfId="0" applyFont="1" applyFill="1" applyBorder="1" applyAlignment="1"/>
    <xf numFmtId="0" fontId="4" fillId="2" borderId="0" xfId="0" applyFont="1" applyFill="1" applyBorder="1" applyAlignment="1"/>
    <xf numFmtId="0" fontId="0" fillId="0" borderId="4" xfId="0" applyBorder="1" applyAlignment="1">
      <alignment horizontal="center"/>
    </xf>
    <xf numFmtId="0" fontId="0" fillId="0" borderId="0" xfId="0" applyBorder="1" applyAlignment="1">
      <alignment horizontal="center"/>
    </xf>
    <xf numFmtId="0" fontId="5" fillId="0" borderId="0" xfId="0" applyFont="1" applyBorder="1"/>
    <xf numFmtId="0" fontId="17" fillId="0" borderId="3" xfId="0" applyFont="1" applyBorder="1"/>
    <xf numFmtId="0" fontId="7" fillId="0" borderId="3" xfId="0" applyFont="1" applyBorder="1" applyAlignment="1">
      <alignment vertical="center"/>
    </xf>
    <xf numFmtId="0" fontId="0" fillId="2" borderId="4" xfId="0" applyFill="1" applyBorder="1"/>
    <xf numFmtId="0" fontId="0" fillId="2" borderId="0" xfId="0" applyFill="1" applyBorder="1"/>
    <xf numFmtId="0" fontId="0" fillId="0" borderId="3" xfId="0" applyBorder="1"/>
    <xf numFmtId="0" fontId="0" fillId="0" borderId="0" xfId="0" applyFont="1" applyBorder="1"/>
    <xf numFmtId="0" fontId="4" fillId="4" borderId="0" xfId="0" applyFont="1" applyFill="1" applyBorder="1"/>
    <xf numFmtId="164" fontId="4" fillId="4" borderId="0" xfId="0" applyNumberFormat="1" applyFont="1" applyFill="1" applyBorder="1"/>
    <xf numFmtId="166" fontId="3" fillId="4" borderId="0" xfId="1" applyNumberFormat="1" applyFont="1" applyFill="1" applyBorder="1"/>
    <xf numFmtId="2" fontId="4" fillId="4" borderId="0" xfId="0" applyNumberFormat="1" applyFont="1" applyFill="1" applyBorder="1"/>
    <xf numFmtId="9" fontId="7" fillId="4" borderId="0" xfId="1" applyFont="1" applyFill="1" applyBorder="1" applyAlignment="1">
      <alignment vertical="center"/>
    </xf>
    <xf numFmtId="9" fontId="5" fillId="4" borderId="0" xfId="1" applyFont="1" applyFill="1" applyBorder="1" applyAlignment="1">
      <alignment vertical="center"/>
    </xf>
    <xf numFmtId="0" fontId="7" fillId="4" borderId="5" xfId="0" applyFont="1" applyFill="1" applyBorder="1"/>
    <xf numFmtId="0" fontId="7" fillId="4" borderId="0" xfId="0" applyFont="1" applyFill="1"/>
    <xf numFmtId="0" fontId="7" fillId="0" borderId="3" xfId="0" applyFont="1" applyBorder="1"/>
    <xf numFmtId="0" fontId="4" fillId="0" borderId="0" xfId="0" applyFont="1" applyBorder="1"/>
    <xf numFmtId="0" fontId="4" fillId="0" borderId="3" xfId="0" applyFont="1" applyBorder="1"/>
    <xf numFmtId="2" fontId="0" fillId="0" borderId="0" xfId="0" applyNumberFormat="1" applyBorder="1"/>
    <xf numFmtId="166" fontId="3" fillId="0" borderId="0" xfId="1" applyNumberFormat="1" applyFont="1" applyBorder="1"/>
    <xf numFmtId="2" fontId="0" fillId="0" borderId="3" xfId="0" applyNumberFormat="1" applyBorder="1"/>
    <xf numFmtId="9" fontId="5" fillId="0" borderId="0" xfId="1" applyFont="1" applyBorder="1" applyAlignment="1">
      <alignment vertical="center"/>
    </xf>
    <xf numFmtId="0" fontId="4" fillId="0" borderId="4" xfId="0" applyFont="1" applyBorder="1"/>
    <xf numFmtId="164" fontId="4" fillId="0" borderId="4" xfId="0" applyNumberFormat="1" applyFont="1" applyBorder="1"/>
    <xf numFmtId="164" fontId="0" fillId="0" borderId="0" xfId="0" applyNumberFormat="1" applyBorder="1"/>
    <xf numFmtId="164" fontId="4" fillId="0" borderId="8" xfId="0" applyNumberFormat="1" applyFont="1" applyBorder="1"/>
    <xf numFmtId="0" fontId="0" fillId="0" borderId="5" xfId="0" applyBorder="1"/>
    <xf numFmtId="0" fontId="4" fillId="2" borderId="2" xfId="0" applyFont="1" applyFill="1" applyBorder="1" applyAlignment="1"/>
    <xf numFmtId="0" fontId="0" fillId="0" borderId="3" xfId="0" applyFill="1" applyBorder="1" applyAlignment="1">
      <alignment horizontal="right"/>
    </xf>
    <xf numFmtId="0" fontId="4" fillId="2" borderId="3" xfId="0" applyFont="1" applyFill="1" applyBorder="1" applyAlignment="1"/>
    <xf numFmtId="0" fontId="0" fillId="0" borderId="3" xfId="0" applyBorder="1" applyAlignment="1">
      <alignment horizontal="center"/>
    </xf>
    <xf numFmtId="0" fontId="5" fillId="0" borderId="4" xfId="0" applyFont="1" applyBorder="1"/>
    <xf numFmtId="0" fontId="0" fillId="2" borderId="3" xfId="0" applyFill="1" applyBorder="1"/>
    <xf numFmtId="164" fontId="0" fillId="0" borderId="3" xfId="0" applyNumberFormat="1" applyBorder="1"/>
    <xf numFmtId="166" fontId="3" fillId="0" borderId="3" xfId="1" applyNumberFormat="1" applyFont="1" applyBorder="1"/>
    <xf numFmtId="9" fontId="7" fillId="0" borderId="3" xfId="1" applyFont="1" applyBorder="1" applyAlignment="1">
      <alignment vertical="center"/>
    </xf>
    <xf numFmtId="9" fontId="5" fillId="0" borderId="3" xfId="1" applyFont="1" applyBorder="1" applyAlignment="1">
      <alignment vertical="center"/>
    </xf>
    <xf numFmtId="0" fontId="0" fillId="0" borderId="6" xfId="0" applyBorder="1"/>
    <xf numFmtId="164" fontId="12" fillId="0" borderId="8" xfId="0" applyNumberFormat="1" applyFont="1" applyBorder="1"/>
    <xf numFmtId="2" fontId="4" fillId="0" borderId="0" xfId="0" applyNumberFormat="1" applyFont="1"/>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3" xfId="0" applyFont="1" applyBorder="1" applyAlignment="1">
      <alignment horizontal="left" vertical="top" wrapText="1"/>
    </xf>
    <xf numFmtId="164" fontId="4" fillId="0" borderId="0" xfId="0" applyNumberFormat="1" applyFont="1" applyBorder="1"/>
    <xf numFmtId="2" fontId="4" fillId="0" borderId="0" xfId="0" applyNumberFormat="1" applyFont="1" applyBorder="1"/>
    <xf numFmtId="164" fontId="0" fillId="0" borderId="4" xfId="0" applyNumberFormat="1" applyBorder="1"/>
    <xf numFmtId="2" fontId="0" fillId="0" borderId="4" xfId="0" applyNumberFormat="1" applyBorder="1"/>
    <xf numFmtId="0" fontId="0" fillId="0" borderId="8" xfId="0" applyBorder="1"/>
    <xf numFmtId="2" fontId="4" fillId="0" borderId="3" xfId="0" applyNumberFormat="1" applyFont="1" applyBorder="1"/>
    <xf numFmtId="164" fontId="18" fillId="0" borderId="8" xfId="0" applyNumberFormat="1" applyFont="1" applyBorder="1"/>
    <xf numFmtId="164" fontId="4" fillId="0" borderId="3" xfId="0" applyNumberFormat="1" applyFont="1" applyBorder="1"/>
    <xf numFmtId="164" fontId="14" fillId="0" borderId="0" xfId="0" applyNumberFormat="1" applyFont="1"/>
    <xf numFmtId="164" fontId="0" fillId="0" borderId="0" xfId="0" applyNumberFormat="1" applyFont="1"/>
    <xf numFmtId="2" fontId="0" fillId="0" borderId="0" xfId="0" applyNumberFormat="1" applyFont="1"/>
    <xf numFmtId="0" fontId="7" fillId="4" borderId="1" xfId="0" applyFont="1" applyFill="1" applyBorder="1"/>
    <xf numFmtId="0" fontId="7" fillId="4" borderId="0" xfId="0" applyFont="1" applyFill="1" applyBorder="1" applyAlignment="1">
      <alignment horizontal="right"/>
    </xf>
    <xf numFmtId="0" fontId="7" fillId="4" borderId="0" xfId="0" applyFont="1" applyFill="1" applyBorder="1"/>
    <xf numFmtId="0" fontId="10" fillId="4" borderId="0" xfId="0" applyFont="1" applyFill="1" applyBorder="1" applyAlignment="1">
      <alignment horizontal="left" vertical="top" wrapText="1"/>
    </xf>
    <xf numFmtId="0" fontId="7" fillId="4" borderId="0" xfId="0" applyFont="1" applyFill="1" applyBorder="1" applyAlignment="1">
      <alignment horizontal="center"/>
    </xf>
    <xf numFmtId="2" fontId="0" fillId="4" borderId="0" xfId="0" applyNumberFormat="1" applyFill="1" applyBorder="1"/>
    <xf numFmtId="0" fontId="0" fillId="4" borderId="0" xfId="0" applyFill="1" applyBorder="1"/>
    <xf numFmtId="0" fontId="7" fillId="4" borderId="0" xfId="0" applyFont="1" applyFill="1" applyBorder="1" applyAlignment="1">
      <alignment vertical="center"/>
    </xf>
    <xf numFmtId="0" fontId="18" fillId="4" borderId="0" xfId="0" applyFont="1" applyFill="1" applyBorder="1"/>
    <xf numFmtId="2" fontId="0" fillId="0" borderId="4" xfId="0" applyNumberFormat="1" applyFill="1" applyBorder="1"/>
    <xf numFmtId="2" fontId="0" fillId="0" borderId="0" xfId="0" applyNumberFormat="1" applyFill="1" applyBorder="1"/>
    <xf numFmtId="0" fontId="4" fillId="0" borderId="0" xfId="0" applyFont="1" applyFill="1" applyBorder="1"/>
    <xf numFmtId="164" fontId="18" fillId="0" borderId="5" xfId="0" applyNumberFormat="1" applyFont="1" applyBorder="1"/>
    <xf numFmtId="0" fontId="4" fillId="5" borderId="7" xfId="0" applyFont="1" applyFill="1" applyBorder="1" applyAlignment="1"/>
    <xf numFmtId="0" fontId="4" fillId="5" borderId="1" xfId="0" applyFont="1" applyFill="1" applyBorder="1" applyAlignment="1"/>
    <xf numFmtId="0" fontId="0" fillId="5" borderId="4" xfId="0" applyFill="1" applyBorder="1" applyAlignment="1">
      <alignment horizontal="right"/>
    </xf>
    <xf numFmtId="0" fontId="0" fillId="5" borderId="0" xfId="0" applyFill="1" applyBorder="1" applyAlignment="1">
      <alignment horizontal="right"/>
    </xf>
    <xf numFmtId="0" fontId="0" fillId="5" borderId="4" xfId="0" applyFill="1" applyBorder="1"/>
    <xf numFmtId="0" fontId="0" fillId="5" borderId="0" xfId="0" applyFill="1" applyBorder="1"/>
    <xf numFmtId="0" fontId="7" fillId="5" borderId="4" xfId="0" applyFont="1" applyFill="1" applyBorder="1"/>
    <xf numFmtId="0" fontId="7" fillId="5" borderId="0" xfId="0" applyFont="1" applyFill="1" applyBorder="1"/>
    <xf numFmtId="0" fontId="4" fillId="5" borderId="4" xfId="0" applyFont="1" applyFill="1" applyBorder="1" applyAlignment="1"/>
    <xf numFmtId="0" fontId="4" fillId="5" borderId="0" xfId="0" applyFont="1" applyFill="1" applyBorder="1" applyAlignment="1"/>
    <xf numFmtId="0" fontId="0" fillId="5" borderId="4" xfId="0" applyFill="1" applyBorder="1" applyAlignment="1">
      <alignment horizontal="center"/>
    </xf>
    <xf numFmtId="0" fontId="0" fillId="5" borderId="0" xfId="0" applyFill="1" applyBorder="1" applyAlignment="1">
      <alignment horizontal="center"/>
    </xf>
    <xf numFmtId="0" fontId="5" fillId="5" borderId="4" xfId="0" applyFont="1" applyFill="1" applyBorder="1"/>
    <xf numFmtId="0" fontId="7" fillId="5" borderId="4" xfId="0" applyFont="1" applyFill="1" applyBorder="1" applyAlignment="1">
      <alignment vertical="center"/>
    </xf>
    <xf numFmtId="0" fontId="7" fillId="5" borderId="0" xfId="0" applyFont="1" applyFill="1" applyBorder="1" applyAlignment="1">
      <alignment vertical="center"/>
    </xf>
    <xf numFmtId="0" fontId="4" fillId="5" borderId="0" xfId="0" applyFont="1" applyFill="1" applyBorder="1"/>
    <xf numFmtId="164" fontId="0" fillId="5" borderId="0" xfId="0" applyNumberFormat="1" applyFill="1" applyBorder="1"/>
    <xf numFmtId="2" fontId="0" fillId="5" borderId="0" xfId="0" applyNumberFormat="1" applyFill="1" applyBorder="1"/>
    <xf numFmtId="166" fontId="3" fillId="5" borderId="0" xfId="1" applyNumberFormat="1" applyFont="1" applyFill="1" applyBorder="1"/>
    <xf numFmtId="9" fontId="7" fillId="5" borderId="0" xfId="1" applyFont="1" applyFill="1" applyBorder="1" applyAlignment="1">
      <alignment vertical="center"/>
    </xf>
    <xf numFmtId="9" fontId="5" fillId="5" borderId="0" xfId="1" applyFont="1" applyFill="1" applyBorder="1" applyAlignment="1">
      <alignment vertical="center"/>
    </xf>
    <xf numFmtId="0" fontId="4" fillId="5" borderId="4" xfId="0" applyFont="1" applyFill="1" applyBorder="1"/>
    <xf numFmtId="164" fontId="4" fillId="5" borderId="4" xfId="0" applyNumberFormat="1" applyFont="1" applyFill="1" applyBorder="1"/>
    <xf numFmtId="164" fontId="18" fillId="5" borderId="8" xfId="0" applyNumberFormat="1" applyFont="1" applyFill="1" applyBorder="1"/>
    <xf numFmtId="0" fontId="0" fillId="5" borderId="5" xfId="0" applyFill="1" applyBorder="1"/>
    <xf numFmtId="0" fontId="0" fillId="5" borderId="0" xfId="0" applyFill="1"/>
    <xf numFmtId="0" fontId="0" fillId="0" borderId="4" xfId="0" applyFill="1" applyBorder="1"/>
    <xf numFmtId="0" fontId="0" fillId="0" borderId="0" xfId="0" applyFill="1" applyBorder="1"/>
    <xf numFmtId="0" fontId="7" fillId="0" borderId="4" xfId="0" applyFont="1" applyFill="1" applyBorder="1"/>
    <xf numFmtId="0" fontId="7" fillId="0" borderId="0" xfId="0" applyFont="1" applyFill="1" applyBorder="1"/>
    <xf numFmtId="0" fontId="0" fillId="0" borderId="4" xfId="0" applyFill="1" applyBorder="1" applyAlignment="1">
      <alignment horizontal="center"/>
    </xf>
    <xf numFmtId="0" fontId="0" fillId="0" borderId="0" xfId="0" applyFill="1" applyBorder="1" applyAlignment="1">
      <alignment horizontal="center"/>
    </xf>
    <xf numFmtId="0" fontId="5" fillId="0" borderId="4" xfId="0" applyFont="1" applyFill="1" applyBorder="1"/>
    <xf numFmtId="0" fontId="7" fillId="0" borderId="4" xfId="0" applyFont="1" applyFill="1" applyBorder="1" applyAlignment="1">
      <alignment vertical="center"/>
    </xf>
    <xf numFmtId="0" fontId="7" fillId="0" borderId="0" xfId="0" applyFont="1" applyFill="1" applyBorder="1" applyAlignment="1">
      <alignment vertical="center"/>
    </xf>
    <xf numFmtId="164" fontId="0" fillId="0" borderId="0" xfId="0" applyNumberFormat="1" applyFill="1" applyBorder="1"/>
    <xf numFmtId="166" fontId="3" fillId="0" borderId="0" xfId="1" applyNumberFormat="1" applyFont="1" applyFill="1" applyBorder="1"/>
    <xf numFmtId="9" fontId="7" fillId="0" borderId="0" xfId="1" applyFont="1" applyFill="1" applyBorder="1" applyAlignment="1">
      <alignment vertical="center"/>
    </xf>
    <xf numFmtId="9" fontId="5" fillId="0" borderId="0" xfId="1" applyFont="1" applyFill="1" applyBorder="1" applyAlignment="1">
      <alignment vertical="center"/>
    </xf>
    <xf numFmtId="0" fontId="4" fillId="0" borderId="4" xfId="0" applyFont="1" applyFill="1" applyBorder="1"/>
    <xf numFmtId="164" fontId="4" fillId="0" borderId="4" xfId="0" applyNumberFormat="1" applyFont="1" applyFill="1" applyBorder="1"/>
    <xf numFmtId="164" fontId="18" fillId="0" borderId="8" xfId="0" applyNumberFormat="1" applyFont="1" applyFill="1" applyBorder="1"/>
    <xf numFmtId="0" fontId="0" fillId="0" borderId="5" xfId="0" applyFill="1" applyBorder="1"/>
    <xf numFmtId="0" fontId="5" fillId="0" borderId="0" xfId="0" applyFont="1" applyFill="1" applyBorder="1"/>
    <xf numFmtId="164" fontId="4" fillId="0" borderId="0" xfId="0" applyNumberFormat="1" applyFont="1" applyFill="1" applyBorder="1"/>
    <xf numFmtId="0" fontId="0" fillId="0" borderId="3" xfId="0" applyFill="1" applyBorder="1"/>
    <xf numFmtId="0" fontId="7" fillId="0" borderId="3" xfId="0" applyFont="1" applyFill="1" applyBorder="1"/>
    <xf numFmtId="0" fontId="0" fillId="0" borderId="3" xfId="0" applyFill="1" applyBorder="1" applyAlignment="1">
      <alignment horizontal="center"/>
    </xf>
    <xf numFmtId="0" fontId="7" fillId="0" borderId="3" xfId="0" applyFont="1" applyFill="1" applyBorder="1" applyAlignment="1">
      <alignment vertical="center"/>
    </xf>
    <xf numFmtId="0" fontId="4" fillId="0" borderId="3" xfId="0" applyFont="1" applyFill="1" applyBorder="1"/>
    <xf numFmtId="164" fontId="0" fillId="0" borderId="3" xfId="0" applyNumberFormat="1" applyFill="1" applyBorder="1"/>
    <xf numFmtId="2" fontId="0" fillId="0" borderId="3" xfId="0" applyNumberFormat="1" applyFill="1" applyBorder="1"/>
    <xf numFmtId="166" fontId="3" fillId="0" borderId="3" xfId="1" applyNumberFormat="1" applyFont="1" applyFill="1" applyBorder="1"/>
    <xf numFmtId="9" fontId="7" fillId="0" borderId="3" xfId="1" applyFont="1" applyFill="1" applyBorder="1" applyAlignment="1">
      <alignment vertical="center"/>
    </xf>
    <xf numFmtId="9" fontId="5" fillId="0" borderId="3" xfId="1" applyFont="1" applyFill="1" applyBorder="1" applyAlignment="1">
      <alignment vertical="center"/>
    </xf>
    <xf numFmtId="164" fontId="18" fillId="0" borderId="5" xfId="0" applyNumberFormat="1" applyFont="1" applyFill="1" applyBorder="1"/>
    <xf numFmtId="0" fontId="0" fillId="0" borderId="6" xfId="0" applyFill="1" applyBorder="1"/>
    <xf numFmtId="164" fontId="0" fillId="0" borderId="0" xfId="0" applyNumberFormat="1" applyFill="1"/>
    <xf numFmtId="0" fontId="8" fillId="0" borderId="0" xfId="0" applyFont="1" applyBorder="1" applyAlignment="1">
      <alignment vertical="top" wrapText="1"/>
    </xf>
    <xf numFmtId="0" fontId="0" fillId="0" borderId="0" xfId="0" applyBorder="1" applyAlignment="1">
      <alignment horizontal="right"/>
    </xf>
    <xf numFmtId="0" fontId="9" fillId="0" borderId="0" xfId="0" applyFont="1" applyBorder="1" applyAlignment="1">
      <alignment vertical="top" wrapText="1"/>
    </xf>
    <xf numFmtId="0" fontId="0" fillId="0" borderId="0" xfId="0" applyFont="1" applyBorder="1" applyAlignment="1">
      <alignment horizontal="left" vertical="top" wrapText="1"/>
    </xf>
    <xf numFmtId="0" fontId="4" fillId="2" borderId="0" xfId="0" applyFont="1" applyFill="1" applyBorder="1"/>
    <xf numFmtId="0" fontId="20" fillId="0" borderId="0" xfId="0" applyFont="1" applyBorder="1" applyAlignment="1">
      <alignment horizontal="right"/>
    </xf>
    <xf numFmtId="0" fontId="14" fillId="0" borderId="0" xfId="0" applyFont="1" applyFill="1" applyBorder="1"/>
    <xf numFmtId="0" fontId="21" fillId="0" borderId="0" xfId="0" applyFont="1" applyBorder="1"/>
    <xf numFmtId="0" fontId="22" fillId="0" borderId="0" xfId="0" applyFont="1" applyFill="1" applyBorder="1" applyAlignment="1">
      <alignment horizontal="right"/>
    </xf>
    <xf numFmtId="0" fontId="23" fillId="0" borderId="0" xfId="0" applyFont="1" applyFill="1" applyBorder="1" applyAlignment="1">
      <alignment horizontal="right"/>
    </xf>
    <xf numFmtId="0" fontId="22" fillId="0" borderId="0" xfId="0" applyFont="1" applyBorder="1"/>
    <xf numFmtId="0" fontId="22" fillId="0" borderId="0" xfId="0" applyFont="1" applyBorder="1" applyAlignment="1">
      <alignment horizontal="right"/>
    </xf>
    <xf numFmtId="0" fontId="22" fillId="0" borderId="0" xfId="0" applyFont="1" applyFill="1" applyBorder="1"/>
    <xf numFmtId="0" fontId="19" fillId="0" borderId="0" xfId="0" applyFont="1" applyBorder="1"/>
    <xf numFmtId="0" fontId="0" fillId="0" borderId="0" xfId="0" applyBorder="1" applyAlignment="1">
      <alignment horizontal="center"/>
    </xf>
    <xf numFmtId="164" fontId="5" fillId="0" borderId="0" xfId="0" applyNumberFormat="1" applyFont="1" applyBorder="1"/>
    <xf numFmtId="0" fontId="26" fillId="2" borderId="0" xfId="0" applyFont="1" applyFill="1" applyBorder="1" applyAlignment="1"/>
    <xf numFmtId="0" fontId="27" fillId="0" borderId="0" xfId="0" applyFont="1" applyFill="1" applyBorder="1" applyAlignment="1">
      <alignment horizontal="right"/>
    </xf>
    <xf numFmtId="0" fontId="27" fillId="0" borderId="0" xfId="0" applyFont="1" applyBorder="1"/>
    <xf numFmtId="0" fontId="28" fillId="0" borderId="0" xfId="0" applyFont="1" applyBorder="1"/>
    <xf numFmtId="0" fontId="27" fillId="0" borderId="0" xfId="0" applyFont="1" applyBorder="1" applyAlignment="1">
      <alignment horizontal="center"/>
    </xf>
    <xf numFmtId="2" fontId="27" fillId="0" borderId="0" xfId="0" applyNumberFormat="1" applyFont="1" applyBorder="1"/>
    <xf numFmtId="0" fontId="28" fillId="0" borderId="0" xfId="0" applyFont="1" applyBorder="1" applyAlignment="1">
      <alignment vertical="center"/>
    </xf>
    <xf numFmtId="0" fontId="27" fillId="2" borderId="0" xfId="0" applyFont="1" applyFill="1" applyBorder="1"/>
    <xf numFmtId="0" fontId="26" fillId="0" borderId="0" xfId="0" applyFont="1" applyBorder="1"/>
    <xf numFmtId="0" fontId="29" fillId="0" borderId="0" xfId="0" applyFont="1" applyBorder="1" applyAlignment="1">
      <alignment horizontal="left" vertical="top" wrapText="1"/>
    </xf>
    <xf numFmtId="164" fontId="26" fillId="0" borderId="0" xfId="0" applyNumberFormat="1" applyFont="1" applyBorder="1"/>
    <xf numFmtId="166" fontId="28" fillId="0" borderId="0" xfId="1" applyNumberFormat="1" applyFont="1" applyBorder="1"/>
    <xf numFmtId="2" fontId="26" fillId="0" borderId="0" xfId="0" applyNumberFormat="1" applyFont="1" applyBorder="1"/>
    <xf numFmtId="9" fontId="28" fillId="0" borderId="0" xfId="1" applyFont="1" applyBorder="1" applyAlignment="1">
      <alignment vertical="center"/>
    </xf>
    <xf numFmtId="164" fontId="18" fillId="0" borderId="0" xfId="0" applyNumberFormat="1" applyFont="1" applyBorder="1"/>
    <xf numFmtId="2" fontId="18" fillId="0" borderId="0" xfId="0" applyNumberFormat="1" applyFont="1" applyBorder="1"/>
    <xf numFmtId="0" fontId="30" fillId="0" borderId="0" xfId="0" applyFont="1" applyBorder="1"/>
    <xf numFmtId="0" fontId="0" fillId="0" borderId="0" xfId="0" applyAlignment="1">
      <alignment horizontal="right"/>
    </xf>
    <xf numFmtId="0" fontId="0" fillId="0" borderId="0" xfId="0" applyAlignment="1">
      <alignment horizontal="right"/>
    </xf>
    <xf numFmtId="0" fontId="0" fillId="0" borderId="0" xfId="0" applyBorder="1" applyAlignment="1">
      <alignment horizontal="center"/>
    </xf>
    <xf numFmtId="0" fontId="29" fillId="0" borderId="0" xfId="0" applyFont="1" applyBorder="1" applyAlignment="1">
      <alignment horizontal="left" vertical="top" wrapText="1"/>
    </xf>
    <xf numFmtId="0" fontId="29" fillId="0" borderId="0" xfId="0" applyFont="1" applyBorder="1" applyAlignment="1">
      <alignment vertical="top" wrapText="1"/>
    </xf>
    <xf numFmtId="0" fontId="0" fillId="0" borderId="0" xfId="0" applyBorder="1" applyAlignment="1">
      <alignment horizontal="center"/>
    </xf>
    <xf numFmtId="0" fontId="25" fillId="0" borderId="0" xfId="0" applyFont="1" applyBorder="1"/>
    <xf numFmtId="0" fontId="25" fillId="0" borderId="0" xfId="0" applyFont="1"/>
    <xf numFmtId="0" fontId="10" fillId="0" borderId="0" xfId="0" applyFont="1" applyBorder="1" applyAlignment="1">
      <alignment vertical="top" wrapText="1"/>
    </xf>
    <xf numFmtId="0" fontId="18" fillId="2" borderId="0" xfId="0" applyFont="1" applyFill="1" applyBorder="1" applyAlignment="1"/>
    <xf numFmtId="0" fontId="30" fillId="0" borderId="0" xfId="0" applyFont="1" applyFill="1" applyBorder="1" applyAlignment="1">
      <alignment horizontal="right"/>
    </xf>
    <xf numFmtId="0" fontId="30" fillId="0" borderId="0" xfId="0" applyFont="1" applyBorder="1" applyAlignment="1">
      <alignment horizontal="center"/>
    </xf>
    <xf numFmtId="2" fontId="30" fillId="0" borderId="0" xfId="0" applyNumberFormat="1" applyFont="1" applyBorder="1"/>
    <xf numFmtId="0" fontId="30" fillId="2" borderId="0" xfId="0" applyFont="1" applyFill="1" applyBorder="1"/>
    <xf numFmtId="0" fontId="24" fillId="0" borderId="0" xfId="0" applyFont="1" applyBorder="1" applyAlignment="1">
      <alignment vertical="top" wrapText="1"/>
    </xf>
    <xf numFmtId="0" fontId="15" fillId="0" borderId="0" xfId="0" applyFont="1" applyBorder="1" applyAlignment="1">
      <alignment vertical="top" wrapText="1"/>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7" fillId="0" borderId="0" xfId="0" applyFont="1" applyFill="1" applyBorder="1" applyAlignment="1">
      <alignment horizontal="right"/>
    </xf>
    <xf numFmtId="0" fontId="0" fillId="0" borderId="0" xfId="0" applyBorder="1" applyAlignment="1">
      <alignment horizontal="center"/>
    </xf>
    <xf numFmtId="166" fontId="0" fillId="0" borderId="0" xfId="0" applyNumberFormat="1" applyBorder="1"/>
    <xf numFmtId="0" fontId="0" fillId="0" borderId="0" xfId="0" applyBorder="1" applyAlignment="1">
      <alignment horizontal="center"/>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166" fontId="0" fillId="0" borderId="0" xfId="1" applyNumberFormat="1" applyFont="1" applyBorder="1"/>
    <xf numFmtId="0" fontId="32" fillId="2" borderId="0" xfId="0" applyFont="1" applyFill="1" applyBorder="1" applyAlignment="1"/>
    <xf numFmtId="0" fontId="31" fillId="0" borderId="0" xfId="0" applyFont="1" applyFill="1" applyBorder="1" applyAlignment="1">
      <alignment horizontal="right"/>
    </xf>
    <xf numFmtId="0" fontId="31" fillId="0" borderId="0" xfId="0" applyFont="1" applyBorder="1"/>
    <xf numFmtId="0" fontId="31" fillId="0" borderId="0" xfId="0" applyFont="1" applyBorder="1" applyAlignment="1">
      <alignment horizontal="center"/>
    </xf>
    <xf numFmtId="164" fontId="31" fillId="0" borderId="0" xfId="0" applyNumberFormat="1" applyFont="1" applyBorder="1"/>
    <xf numFmtId="0" fontId="33" fillId="0" borderId="0" xfId="0" applyFont="1" applyBorder="1" applyAlignment="1">
      <alignment vertical="center"/>
    </xf>
    <xf numFmtId="0" fontId="31" fillId="2" borderId="0" xfId="0" applyFont="1" applyFill="1" applyBorder="1"/>
    <xf numFmtId="0" fontId="33" fillId="0" borderId="0" xfId="0" applyFont="1" applyBorder="1"/>
    <xf numFmtId="0" fontId="32" fillId="0" borderId="0" xfId="0" applyFont="1" applyBorder="1"/>
    <xf numFmtId="2" fontId="31" fillId="0" borderId="0" xfId="0" applyNumberFormat="1" applyFont="1" applyBorder="1"/>
    <xf numFmtId="166" fontId="33" fillId="0" borderId="0" xfId="1" applyNumberFormat="1" applyFont="1" applyBorder="1"/>
    <xf numFmtId="9" fontId="33" fillId="0" borderId="0" xfId="1" applyFont="1" applyBorder="1" applyAlignment="1">
      <alignment vertical="center"/>
    </xf>
    <xf numFmtId="164" fontId="32"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2" fontId="0" fillId="0" borderId="0" xfId="1" applyNumberFormat="1" applyFont="1" applyBorder="1"/>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6" borderId="0" xfId="0" applyFill="1" applyBorder="1" applyAlignment="1">
      <alignment horizontal="right"/>
    </xf>
    <xf numFmtId="0" fontId="30" fillId="6" borderId="0" xfId="0" applyFont="1" applyFill="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7" borderId="0" xfId="2"/>
    <xf numFmtId="0" fontId="30" fillId="0" borderId="0" xfId="2" applyFont="1" applyFill="1"/>
    <xf numFmtId="0" fontId="30" fillId="0" borderId="0" xfId="3" applyFont="1"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1" fillId="0" borderId="0" xfId="0" applyFont="1" applyAlignment="1">
      <alignment horizontal="right"/>
    </xf>
    <xf numFmtId="0" fontId="38" fillId="0" borderId="0" xfId="0" applyFont="1" applyBorder="1"/>
    <xf numFmtId="0" fontId="39" fillId="0" borderId="0" xfId="0" applyFont="1" applyBorder="1"/>
    <xf numFmtId="0" fontId="37" fillId="0" borderId="0" xfId="0" applyFont="1" applyBorder="1"/>
    <xf numFmtId="164" fontId="39" fillId="0" borderId="0" xfId="0" applyNumberFormat="1" applyFont="1" applyBorder="1"/>
    <xf numFmtId="2" fontId="38" fillId="0" borderId="0" xfId="1" applyNumberFormat="1" applyFont="1" applyBorder="1"/>
    <xf numFmtId="164" fontId="38" fillId="0" borderId="0" xfId="1" applyNumberFormat="1" applyFont="1" applyBorder="1"/>
    <xf numFmtId="2" fontId="38" fillId="0" borderId="0" xfId="0" applyNumberFormat="1" applyFont="1" applyBorder="1"/>
    <xf numFmtId="166" fontId="38"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0" borderId="0" xfId="2"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39" fillId="0" borderId="0" xfId="0" applyFont="1" applyBorder="1" applyAlignment="1">
      <alignment horizontal="right"/>
    </xf>
    <xf numFmtId="0" fontId="37" fillId="0" borderId="0" xfId="0" applyFont="1" applyBorder="1" applyAlignment="1">
      <alignment horizontal="right"/>
    </xf>
    <xf numFmtId="0" fontId="15" fillId="0" borderId="0"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0" fillId="0" borderId="3" xfId="0" applyBorder="1" applyAlignment="1">
      <alignment horizontal="center"/>
    </xf>
    <xf numFmtId="0" fontId="8" fillId="0" borderId="4" xfId="0" applyFont="1" applyBorder="1" applyAlignment="1">
      <alignment vertical="top" wrapText="1"/>
    </xf>
    <xf numFmtId="0" fontId="8" fillId="0" borderId="0" xfId="0" applyFont="1" applyBorder="1" applyAlignment="1">
      <alignment vertical="top" wrapText="1"/>
    </xf>
    <xf numFmtId="0" fontId="10" fillId="0" borderId="0" xfId="0" applyFont="1" applyAlignment="1">
      <alignment horizontal="left" vertical="top" wrapText="1"/>
    </xf>
    <xf numFmtId="0" fontId="10" fillId="0" borderId="0" xfId="0" applyFont="1" applyAlignment="1">
      <alignment horizontal="center"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7" fillId="2" borderId="4" xfId="0" applyFont="1" applyFill="1" applyBorder="1" applyAlignment="1">
      <alignment horizontal="center"/>
    </xf>
    <xf numFmtId="0" fontId="7" fillId="2" borderId="0" xfId="0" applyFont="1" applyFill="1" applyBorder="1" applyAlignment="1">
      <alignment horizontal="center"/>
    </xf>
    <xf numFmtId="0" fontId="14" fillId="2" borderId="0" xfId="0" applyFont="1" applyFill="1" applyBorder="1" applyAlignment="1">
      <alignment horizontal="center"/>
    </xf>
    <xf numFmtId="0" fontId="14" fillId="2" borderId="3" xfId="0" applyFont="1" applyFill="1" applyBorder="1" applyAlignment="1">
      <alignment horizontal="center"/>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13" fillId="0" borderId="0" xfId="0" applyFont="1" applyAlignment="1">
      <alignment vertical="top" wrapText="1"/>
    </xf>
    <xf numFmtId="0" fontId="10" fillId="0" borderId="0" xfId="0" applyFont="1" applyAlignment="1">
      <alignment vertical="top" wrapText="1"/>
    </xf>
    <xf numFmtId="0" fontId="10" fillId="0" borderId="0" xfId="0" applyFont="1" applyBorder="1" applyAlignment="1">
      <alignment vertical="top" wrapText="1"/>
    </xf>
    <xf numFmtId="0" fontId="15" fillId="0" borderId="3" xfId="0" applyFont="1" applyBorder="1" applyAlignment="1">
      <alignment horizontal="left" vertical="top" wrapText="1"/>
    </xf>
    <xf numFmtId="0" fontId="10" fillId="0" borderId="3" xfId="0" applyFont="1" applyBorder="1" applyAlignment="1">
      <alignment horizontal="left" vertical="top" wrapText="1"/>
    </xf>
    <xf numFmtId="0" fontId="13" fillId="0" borderId="0" xfId="0" applyFont="1" applyBorder="1" applyAlignment="1">
      <alignment vertical="top" wrapText="1"/>
    </xf>
    <xf numFmtId="0" fontId="13" fillId="0" borderId="3" xfId="0" applyFont="1" applyBorder="1" applyAlignment="1">
      <alignment vertical="top" wrapText="1"/>
    </xf>
    <xf numFmtId="0" fontId="8" fillId="0" borderId="3" xfId="0" applyFont="1" applyBorder="1" applyAlignment="1">
      <alignment horizontal="left" vertical="top" wrapText="1"/>
    </xf>
    <xf numFmtId="0" fontId="10" fillId="4" borderId="0"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0" xfId="0" applyFont="1" applyFill="1" applyBorder="1" applyAlignment="1">
      <alignment horizontal="left" vertical="top" wrapText="1"/>
    </xf>
    <xf numFmtId="0" fontId="10" fillId="5" borderId="0" xfId="0" applyFont="1" applyFill="1" applyBorder="1" applyAlignment="1">
      <alignment horizontal="left" vertical="top" wrapText="1"/>
    </xf>
    <xf numFmtId="0" fontId="10" fillId="5" borderId="4"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0" xfId="0" applyFont="1" applyBorder="1" applyAlignment="1">
      <alignment horizontal="center" vertical="top" wrapText="1"/>
    </xf>
    <xf numFmtId="0" fontId="24" fillId="0" borderId="0" xfId="0" applyFont="1" applyBorder="1" applyAlignment="1">
      <alignment horizontal="left" vertical="top" wrapText="1"/>
    </xf>
    <xf numFmtId="0" fontId="15" fillId="0" borderId="0" xfId="0" applyFont="1" applyBorder="1" applyAlignment="1">
      <alignment horizontal="center" vertical="top" wrapText="1"/>
    </xf>
    <xf numFmtId="0" fontId="24" fillId="0" borderId="0" xfId="0" applyFont="1" applyBorder="1" applyAlignment="1">
      <alignment horizontal="center" vertical="top" wrapText="1"/>
    </xf>
    <xf numFmtId="0" fontId="29" fillId="0" borderId="0" xfId="0" applyFont="1" applyBorder="1" applyAlignment="1">
      <alignment horizontal="left" vertical="top" wrapText="1"/>
    </xf>
    <xf numFmtId="0" fontId="18" fillId="0" borderId="0" xfId="0" applyFont="1" applyBorder="1" applyAlignment="1">
      <alignment horizontal="left" vertical="top" wrapText="1"/>
    </xf>
    <xf numFmtId="0" fontId="10" fillId="0" borderId="0" xfId="0" applyFont="1" applyBorder="1" applyAlignment="1">
      <alignment horizontal="center" vertical="top" wrapText="1"/>
    </xf>
    <xf numFmtId="0" fontId="34" fillId="0" borderId="0" xfId="0" applyFont="1" applyBorder="1" applyAlignment="1">
      <alignment vertical="top" wrapText="1"/>
    </xf>
    <xf numFmtId="0" fontId="34" fillId="0" borderId="0" xfId="0" applyFont="1" applyBorder="1" applyAlignment="1">
      <alignment horizontal="left" vertical="top" wrapText="1"/>
    </xf>
    <xf numFmtId="0" fontId="32" fillId="0" borderId="0" xfId="0" applyFont="1" applyBorder="1" applyAlignment="1">
      <alignment horizontal="left" vertical="top" wrapText="1"/>
    </xf>
    <xf numFmtId="0" fontId="41" fillId="9" borderId="0" xfId="4" applyAlignment="1">
      <alignment vertical="top" wrapText="1"/>
    </xf>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9" Type="http://schemas.openxmlformats.org/officeDocument/2006/relationships/worksheet" Target="worksheets/sheet36.xml"/><Relationship Id="rId21" Type="http://schemas.openxmlformats.org/officeDocument/2006/relationships/worksheet" Target="worksheets/sheet18.xml"/><Relationship Id="rId34" Type="http://schemas.openxmlformats.org/officeDocument/2006/relationships/worksheet" Target="worksheets/sheet31.xml"/><Relationship Id="rId42" Type="http://schemas.openxmlformats.org/officeDocument/2006/relationships/theme" Target="theme/theme1.xml"/><Relationship Id="rId7" Type="http://schemas.openxmlformats.org/officeDocument/2006/relationships/worksheet" Target="worksheets/sheet6.xml"/><Relationship Id="rId2" Type="http://schemas.openxmlformats.org/officeDocument/2006/relationships/chartsheet" Target="chartsheets/sheet1.xml"/><Relationship Id="rId16" Type="http://schemas.openxmlformats.org/officeDocument/2006/relationships/worksheet" Target="worksheets/sheet13.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worksheet" Target="worksheets/sheet34.xml"/><Relationship Id="rId40" Type="http://schemas.openxmlformats.org/officeDocument/2006/relationships/worksheet" Target="worksheets/sheet37.xml"/><Relationship Id="rId45"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worksheet" Target="worksheets/sheet33.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worksheet" Target="worksheets/sheet28.xml"/><Relationship Id="rId44"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2.xml"/><Relationship Id="rId43" Type="http://schemas.openxmlformats.org/officeDocument/2006/relationships/styles" Target="styles.xml"/><Relationship Id="rId8" Type="http://schemas.openxmlformats.org/officeDocument/2006/relationships/chartsheet" Target="chartsheets/sheet2.xml"/><Relationship Id="rId3" Type="http://schemas.openxmlformats.org/officeDocument/2006/relationships/worksheet" Target="worksheets/sheet2.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worksheet" Target="worksheets/sheet35.xml"/><Relationship Id="rId20" Type="http://schemas.openxmlformats.org/officeDocument/2006/relationships/worksheet" Target="worksheets/sheet17.xml"/><Relationship Id="rId41" Type="http://schemas.openxmlformats.org/officeDocument/2006/relationships/worksheet" Target="worksheets/sheet3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barChart>
        <c:barDir val="col"/>
        <c:grouping val="clustered"/>
        <c:varyColors val="0"/>
        <c:ser>
          <c:idx val="0"/>
          <c:order val="0"/>
          <c:tx>
            <c:strRef>
              <c:f>'Error Histogram Sheet'!$B$2</c:f>
              <c:strCache>
                <c:ptCount val="1"/>
                <c:pt idx="0">
                  <c:v>Measurements</c:v>
                </c:pt>
              </c:strCache>
            </c:strRef>
          </c:tx>
          <c:invertIfNegative val="0"/>
          <c:cat>
            <c:strRef>
              <c:f>'Error Histogram Sheet'!$A$3:$A$9</c:f>
              <c:strCache>
                <c:ptCount val="7"/>
                <c:pt idx="0">
                  <c:v>0.25</c:v>
                </c:pt>
                <c:pt idx="1">
                  <c:v>0.5</c:v>
                </c:pt>
                <c:pt idx="2">
                  <c:v>0.75</c:v>
                </c:pt>
                <c:pt idx="3">
                  <c:v>1</c:v>
                </c:pt>
                <c:pt idx="4">
                  <c:v>1.25</c:v>
                </c:pt>
                <c:pt idx="5">
                  <c:v>1.5</c:v>
                </c:pt>
                <c:pt idx="6">
                  <c:v>&gt;1.5</c:v>
                </c:pt>
              </c:strCache>
            </c:strRef>
          </c:cat>
          <c:val>
            <c:numRef>
              <c:f>'Error Histogram Sheet'!$B$3:$B$9</c:f>
              <c:numCache>
                <c:formatCode>General</c:formatCode>
                <c:ptCount val="7"/>
                <c:pt idx="0">
                  <c:v>7</c:v>
                </c:pt>
                <c:pt idx="1">
                  <c:v>3</c:v>
                </c:pt>
                <c:pt idx="2">
                  <c:v>2</c:v>
                </c:pt>
                <c:pt idx="3">
                  <c:v>3</c:v>
                </c:pt>
                <c:pt idx="4">
                  <c:v>3</c:v>
                </c:pt>
                <c:pt idx="5">
                  <c:v>3</c:v>
                </c:pt>
                <c:pt idx="6">
                  <c:v>0</c:v>
                </c:pt>
              </c:numCache>
            </c:numRef>
          </c:val>
        </c:ser>
        <c:dLbls>
          <c:showLegendKey val="0"/>
          <c:showVal val="0"/>
          <c:showCatName val="0"/>
          <c:showSerName val="0"/>
          <c:showPercent val="0"/>
          <c:showBubbleSize val="0"/>
        </c:dLbls>
        <c:gapWidth val="150"/>
        <c:axId val="148241408"/>
        <c:axId val="163644544"/>
      </c:barChart>
      <c:catAx>
        <c:axId val="14824140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3644544"/>
        <c:crosses val="autoZero"/>
        <c:auto val="1"/>
        <c:lblAlgn val="ctr"/>
        <c:lblOffset val="100"/>
        <c:noMultiLvlLbl val="0"/>
      </c:catAx>
      <c:valAx>
        <c:axId val="163644544"/>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8241408"/>
        <c:crosses val="autoZero"/>
        <c:crossBetween val="between"/>
      </c:valAx>
    </c:plotArea>
    <c:legend>
      <c:legendPos val="r"/>
      <c:layout>
        <c:manualLayout>
          <c:xMode val="edge"/>
          <c:yMode val="edge"/>
          <c:wMode val="edge"/>
          <c:hMode val="edge"/>
          <c:x val="0.79583486439195106"/>
          <c:y val="0.52194043873846063"/>
          <c:w val="0.98125196850393659"/>
          <c:h val="0.57043928400404909"/>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295964125560554E-2"/>
          <c:y val="3.5668789808917196E-2"/>
          <c:w val="0.89237668161434958"/>
          <c:h val="0.63821656050955411"/>
        </c:manualLayout>
      </c:layout>
      <c:scatterChart>
        <c:scatterStyle val="lineMarker"/>
        <c:varyColors val="0"/>
        <c:ser>
          <c:idx val="13"/>
          <c:order val="0"/>
          <c:tx>
            <c:strRef>
              <c:f>'20070702'!$C$2</c:f>
              <c:strCache>
                <c:ptCount val="1"/>
                <c:pt idx="0">
                  <c:v>Eps 1-2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'20070702'!$B$48</c:f>
              <c:numCache>
                <c:formatCode>General</c:formatCode>
                <c:ptCount val="1"/>
                <c:pt idx="0">
                  <c:v>1.5356328068645198</c:v>
                </c:pt>
              </c:numCache>
            </c:numRef>
          </c:xVal>
          <c:yVal>
            <c:numRef>
              <c:f>'20070702'!$C$48</c:f>
              <c:numCache>
                <c:formatCode>General</c:formatCode>
                <c:ptCount val="1"/>
                <c:pt idx="0">
                  <c:v>0.17085399965930037</c:v>
                </c:pt>
              </c:numCache>
            </c:numRef>
          </c:yVal>
          <c:smooth val="0"/>
        </c:ser>
        <c:ser>
          <c:idx val="14"/>
          <c:order val="1"/>
          <c:tx>
            <c:strRef>
              <c:f>'20070702'!$E$2</c:f>
              <c:strCache>
                <c:ptCount val="1"/>
                <c:pt idx="0">
                  <c:v>Eps 1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'20070702'!$D$48</c:f>
              <c:numCache>
                <c:formatCode>General</c:formatCode>
                <c:ptCount val="1"/>
                <c:pt idx="0">
                  <c:v>8.0012842975568044E-2</c:v>
                </c:pt>
              </c:numCache>
            </c:numRef>
          </c:xVal>
          <c:yVal>
            <c:numRef>
              <c:f>'20070702'!$E$48</c:f>
              <c:numCache>
                <c:formatCode>General</c:formatCode>
                <c:ptCount val="1"/>
                <c:pt idx="0">
                  <c:v>0.15139594324267769</c:v>
                </c:pt>
              </c:numCache>
            </c:numRef>
          </c:yVal>
          <c:smooth val="0"/>
        </c:ser>
        <c:ser>
          <c:idx val="15"/>
          <c:order val="2"/>
          <c:tx>
            <c:strRef>
              <c:f>'20070702'!$G$2</c:f>
              <c:strCache>
                <c:ptCount val="1"/>
                <c:pt idx="0">
                  <c:v>Eps 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'20070702'!$F$48</c:f>
              <c:numCache>
                <c:formatCode>General</c:formatCode>
                <c:ptCount val="1"/>
                <c:pt idx="0">
                  <c:v>0.12964054095668942</c:v>
                </c:pt>
              </c:numCache>
            </c:numRef>
          </c:xVal>
          <c:yVal>
            <c:numRef>
              <c:f>'20070702'!$G$48</c:f>
              <c:numCache>
                <c:formatCode>General</c:formatCode>
                <c:ptCount val="1"/>
                <c:pt idx="0">
                  <c:v>8.6192942937358186E-2</c:v>
                </c:pt>
              </c:numCache>
            </c:numRef>
          </c:yVal>
          <c:smooth val="0"/>
        </c:ser>
        <c:ser>
          <c:idx val="20"/>
          <c:order val="3"/>
          <c:tx>
            <c:strRef>
              <c:f>'20070919'!$C$2</c:f>
              <c:strCache>
                <c:ptCount val="1"/>
                <c:pt idx="0">
                  <c:v>Bet Lyr A-B</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'20070919'!$B$48</c:f>
              <c:numCache>
                <c:formatCode>General</c:formatCode>
                <c:ptCount val="1"/>
                <c:pt idx="0">
                  <c:v>-0.65614574171577544</c:v>
                </c:pt>
              </c:numCache>
            </c:numRef>
          </c:xVal>
          <c:yVal>
            <c:numRef>
              <c:f>'20070919'!$C$48</c:f>
              <c:numCache>
                <c:formatCode>General</c:formatCode>
                <c:ptCount val="1"/>
                <c:pt idx="0">
                  <c:v>0.21056915964643963</c:v>
                </c:pt>
              </c:numCache>
            </c:numRef>
          </c:yVal>
          <c:smooth val="0"/>
        </c:ser>
        <c:ser>
          <c:idx val="21"/>
          <c:order val="4"/>
          <c:tx>
            <c:strRef>
              <c:f>'20070919'!$E$2</c:f>
              <c:strCache>
                <c:ptCount val="1"/>
                <c:pt idx="0">
                  <c:v>Bet Lyr B - 10.61mV</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'20070919'!$D$48</c:f>
              <c:numCache>
                <c:formatCode>General</c:formatCode>
                <c:ptCount val="1"/>
                <c:pt idx="0">
                  <c:v>-0.16018210759259555</c:v>
                </c:pt>
              </c:numCache>
            </c:numRef>
          </c:xVal>
          <c:yVal>
            <c:numRef>
              <c:f>'20070919'!$E$48</c:f>
              <c:numCache>
                <c:formatCode>General</c:formatCode>
                <c:ptCount val="1"/>
                <c:pt idx="0">
                  <c:v>1.2257863070024655</c:v>
                </c:pt>
              </c:numCache>
            </c:numRef>
          </c:yVal>
          <c:smooth val="0"/>
        </c:ser>
        <c:ser>
          <c:idx val="22"/>
          <c:order val="5"/>
          <c:tx>
            <c:strRef>
              <c:f>'20070919'!$G$2</c:f>
              <c:strCache>
                <c:ptCount val="1"/>
                <c:pt idx="0">
                  <c:v>Bet Lyr 10.61 - 10.12mV</c:v>
                </c:pt>
              </c:strCache>
            </c:strRef>
          </c:tx>
          <c:spPr>
            <a:ln>
              <a:noFill/>
            </a:ln>
          </c:spPr>
          <c:marker>
            <c:symbol val="triangle"/>
            <c:size val="7"/>
            <c:spPr>
              <a:noFill/>
              <a:ln w="25400"/>
            </c:spPr>
          </c:marker>
          <c:xVal>
            <c:numRef>
              <c:f>'20070919'!$F$48</c:f>
              <c:numCache>
                <c:formatCode>General</c:formatCode>
                <c:ptCount val="1"/>
                <c:pt idx="0">
                  <c:v>0.31831368851459274</c:v>
                </c:pt>
              </c:numCache>
            </c:numRef>
          </c:xVal>
          <c:yVal>
            <c:numRef>
              <c:f>'20070919'!$G$48</c:f>
              <c:numCache>
                <c:formatCode>General</c:formatCode>
                <c:ptCount val="1"/>
                <c:pt idx="0">
                  <c:v>-0.87423837882617761</c:v>
                </c:pt>
              </c:numCache>
            </c:numRef>
          </c:yVal>
          <c:smooth val="0"/>
        </c:ser>
        <c:ser>
          <c:idx val="23"/>
          <c:order val="6"/>
          <c:tx>
            <c:strRef>
              <c:f>'20070919'!$I$2</c:f>
              <c:strCache>
                <c:ptCount val="1"/>
                <c:pt idx="0">
                  <c:v>Bet Lyr 10.12mV - A</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'20070919'!$H$48</c:f>
              <c:numCache>
                <c:formatCode>General</c:formatCode>
                <c:ptCount val="1"/>
                <c:pt idx="0">
                  <c:v>-0.57109576266962847</c:v>
                </c:pt>
              </c:numCache>
            </c:numRef>
          </c:xVal>
          <c:yVal>
            <c:numRef>
              <c:f>'20070919'!$I$48</c:f>
              <c:numCache>
                <c:formatCode>General</c:formatCode>
                <c:ptCount val="1"/>
                <c:pt idx="0">
                  <c:v>-0.95536134102965775</c:v>
                </c:pt>
              </c:numCache>
            </c:numRef>
          </c:yVal>
          <c:smooth val="0"/>
        </c:ser>
        <c:ser>
          <c:idx val="24"/>
          <c:order val="7"/>
          <c:tx>
            <c:strRef>
              <c:f>'20070919'!$K$2</c:f>
              <c:strCache>
                <c:ptCount val="1"/>
                <c:pt idx="0">
                  <c:v>Mu Dra</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'20070919'!$J$48</c:f>
              <c:numCache>
                <c:formatCode>General</c:formatCode>
                <c:ptCount val="1"/>
                <c:pt idx="0">
                  <c:v>-0.23126799474374021</c:v>
                </c:pt>
              </c:numCache>
            </c:numRef>
          </c:xVal>
          <c:yVal>
            <c:numRef>
              <c:f>'20070919'!$K$48</c:f>
              <c:numCache>
                <c:formatCode>General</c:formatCode>
                <c:ptCount val="1"/>
                <c:pt idx="0">
                  <c:v>-0.48597944898201129</c:v>
                </c:pt>
              </c:numCache>
            </c:numRef>
          </c:yVal>
          <c:smooth val="0"/>
        </c:ser>
        <c:ser>
          <c:idx val="0"/>
          <c:order val="8"/>
          <c:tx>
            <c:strRef>
              <c:f>'20080219'!$C$2</c:f>
              <c:strCache>
                <c:ptCount val="1"/>
                <c:pt idx="0">
                  <c:v>Rigel</c:v>
                </c:pt>
              </c:strCache>
            </c:strRef>
          </c:tx>
          <c:spPr>
            <a:ln w="28575">
              <a:noFill/>
            </a:ln>
          </c:spPr>
          <c:marker>
            <c:symbol val="circle"/>
            <c:size val="7"/>
          </c:marker>
          <c:errBars>
            <c:errDir val="x"/>
            <c:errBarType val="both"/>
            <c:errValType val="fixedVal"/>
            <c:noEndCap val="0"/>
            <c:val val="0.62000000000000122"/>
            <c:spPr>
              <a:ln>
                <a:solidFill>
                  <a:schemeClr val="tx2">
                    <a:lumMod val="75000"/>
                  </a:schemeClr>
                </a:solidFill>
              </a:ln>
            </c:spPr>
          </c:errBars>
          <c:errBars>
            <c:errDir val="y"/>
            <c:errBarType val="both"/>
            <c:errValType val="fixedVal"/>
            <c:noEndCap val="0"/>
            <c:val val="0.62000000000000122"/>
          </c:errBars>
          <c:xVal>
            <c:numRef>
              <c:f>'20080219'!$B$48</c:f>
              <c:numCache>
                <c:formatCode>General</c:formatCode>
                <c:ptCount val="1"/>
                <c:pt idx="0">
                  <c:v>0.20587921407895582</c:v>
                </c:pt>
              </c:numCache>
            </c:numRef>
          </c:xVal>
          <c:yVal>
            <c:numRef>
              <c:f>'20080219'!$C$48</c:f>
              <c:numCache>
                <c:formatCode>General</c:formatCode>
                <c:ptCount val="1"/>
                <c:pt idx="0">
                  <c:v>0.31848068483321867</c:v>
                </c:pt>
              </c:numCache>
            </c:numRef>
          </c:yVal>
          <c:smooth val="0"/>
        </c:ser>
        <c:ser>
          <c:idx val="1"/>
          <c:order val="9"/>
          <c:tx>
            <c:strRef>
              <c:f>'20080219'!$E$2</c:f>
              <c:strCache>
                <c:ptCount val="1"/>
                <c:pt idx="0">
                  <c:v>Mintaka</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'20080219'!$D$48</c:f>
              <c:numCache>
                <c:formatCode>General</c:formatCode>
                <c:ptCount val="1"/>
                <c:pt idx="0">
                  <c:v>-0.12876367416968937</c:v>
                </c:pt>
              </c:numCache>
            </c:numRef>
          </c:xVal>
          <c:yVal>
            <c:numRef>
              <c:f>'20080219'!$E$48</c:f>
              <c:numCache>
                <c:formatCode>General</c:formatCode>
                <c:ptCount val="1"/>
                <c:pt idx="0">
                  <c:v>-4.0256226097639569E-2</c:v>
                </c:pt>
              </c:numCache>
            </c:numRef>
          </c:yVal>
          <c:smooth val="0"/>
        </c:ser>
        <c:ser>
          <c:idx val="2"/>
          <c:order val="10"/>
          <c:tx>
            <c:strRef>
              <c:f>'20080219'!$G$2</c:f>
              <c:strCache>
                <c:ptCount val="1"/>
                <c:pt idx="0">
                  <c:v>Trapezium A-B</c:v>
                </c:pt>
              </c:strCache>
            </c:strRef>
          </c:tx>
          <c:spPr>
            <a:ln w="28575">
              <a:noFill/>
            </a:ln>
          </c:spPr>
          <c:marker>
            <c:symbol val="circle"/>
            <c:size val="7"/>
          </c:marker>
          <c:xVal>
            <c:numRef>
              <c:f>'20080219'!$F$48</c:f>
              <c:numCache>
                <c:formatCode>General</c:formatCode>
                <c:ptCount val="1"/>
                <c:pt idx="0">
                  <c:v>-0.22551556463636224</c:v>
                </c:pt>
              </c:numCache>
            </c:numRef>
          </c:xVal>
          <c:yVal>
            <c:numRef>
              <c:f>'20080219'!$G$48</c:f>
              <c:numCache>
                <c:formatCode>General</c:formatCode>
                <c:ptCount val="1"/>
                <c:pt idx="0">
                  <c:v>2.984086993165036E-2</c:v>
                </c:pt>
              </c:numCache>
            </c:numRef>
          </c:yVal>
          <c:smooth val="0"/>
        </c:ser>
        <c:ser>
          <c:idx val="3"/>
          <c:order val="11"/>
          <c:tx>
            <c:strRef>
              <c:f>'20080219'!$I$2</c:f>
              <c:strCache>
                <c:ptCount val="1"/>
                <c:pt idx="0">
                  <c:v>Trapezium A-C</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'20080219'!$H$48</c:f>
              <c:numCache>
                <c:formatCode>General</c:formatCode>
                <c:ptCount val="1"/>
                <c:pt idx="0">
                  <c:v>-0.62004169060092629</c:v>
                </c:pt>
              </c:numCache>
            </c:numRef>
          </c:xVal>
          <c:yVal>
            <c:numRef>
              <c:f>'20080219'!$I$48</c:f>
              <c:numCache>
                <c:formatCode>General</c:formatCode>
                <c:ptCount val="1"/>
                <c:pt idx="0">
                  <c:v>0.4821326013095959</c:v>
                </c:pt>
              </c:numCache>
            </c:numRef>
          </c:yVal>
          <c:smooth val="0"/>
        </c:ser>
        <c:ser>
          <c:idx val="4"/>
          <c:order val="12"/>
          <c:tx>
            <c:strRef>
              <c:f>'20080219'!$K$2</c:f>
              <c:strCache>
                <c:ptCount val="1"/>
                <c:pt idx="0">
                  <c:v>Trapezium B-D</c:v>
                </c:pt>
              </c:strCache>
            </c:strRef>
          </c:tx>
          <c:spPr>
            <a:ln w="28575">
              <a:noFill/>
            </a:ln>
          </c:spPr>
          <c:marker>
            <c:symbol val="circle"/>
            <c:size val="7"/>
          </c:marker>
          <c:xVal>
            <c:numRef>
              <c:f>'20080219'!$J$48</c:f>
              <c:numCache>
                <c:formatCode>General</c:formatCode>
                <c:ptCount val="1"/>
                <c:pt idx="0">
                  <c:v>-0.39438989233644151</c:v>
                </c:pt>
              </c:numCache>
            </c:numRef>
          </c:xVal>
          <c:yVal>
            <c:numRef>
              <c:f>'20080219'!$K$48</c:f>
              <c:numCache>
                <c:formatCode>General</c:formatCode>
                <c:ptCount val="1"/>
                <c:pt idx="0">
                  <c:v>-0.55260055321912382</c:v>
                </c:pt>
              </c:numCache>
            </c:numRef>
          </c:yVal>
          <c:smooth val="0"/>
        </c:ser>
        <c:ser>
          <c:idx val="5"/>
          <c:order val="13"/>
          <c:tx>
            <c:strRef>
              <c:f>'20080219'!$M$2</c:f>
              <c:strCache>
                <c:ptCount val="1"/>
                <c:pt idx="0">
                  <c:v>Trapezium C-D</c:v>
                </c:pt>
              </c:strCache>
            </c:strRef>
          </c:tx>
          <c:spPr>
            <a:ln w="28575">
              <a:noFill/>
            </a:ln>
          </c:spPr>
          <c:errBars>
            <c:errDir val="x"/>
            <c:errBarType val="both"/>
            <c:errValType val="fixedVal"/>
            <c:noEndCap val="0"/>
            <c:val val="0.62000000000000122"/>
          </c:errBars>
          <c:errBars>
            <c:errDir val="y"/>
            <c:errBarType val="both"/>
            <c:errValType val="fixedVal"/>
            <c:noEndCap val="0"/>
            <c:val val="0.62000000000000122"/>
          </c:errBars>
          <c:xVal>
            <c:numRef>
              <c:f>'20080219'!$L$48</c:f>
              <c:numCache>
                <c:formatCode>General</c:formatCode>
                <c:ptCount val="1"/>
                <c:pt idx="0">
                  <c:v>-0.70019182380806377</c:v>
                </c:pt>
              </c:numCache>
            </c:numRef>
          </c:xVal>
          <c:yVal>
            <c:numRef>
              <c:f>'20080219'!$M$48</c:f>
              <c:numCache>
                <c:formatCode>General</c:formatCode>
                <c:ptCount val="1"/>
                <c:pt idx="0">
                  <c:v>-1.1936353564738988</c:v>
                </c:pt>
              </c:numCache>
            </c:numRef>
          </c:yVal>
          <c:smooth val="0"/>
        </c:ser>
        <c:ser>
          <c:idx val="6"/>
          <c:order val="14"/>
          <c:tx>
            <c:strRef>
              <c:f>'20080219'!$O$2</c:f>
              <c:strCache>
                <c:ptCount val="1"/>
                <c:pt idx="0">
                  <c:v>Theta 2 Ori</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'20080219'!$N$48</c:f>
              <c:numCache>
                <c:formatCode>General</c:formatCode>
                <c:ptCount val="1"/>
                <c:pt idx="0">
                  <c:v>-0.57912836340958762</c:v>
                </c:pt>
              </c:numCache>
            </c:numRef>
          </c:xVal>
          <c:yVal>
            <c:numRef>
              <c:f>'20080219'!$O$48</c:f>
              <c:numCache>
                <c:formatCode>General</c:formatCode>
                <c:ptCount val="1"/>
                <c:pt idx="0">
                  <c:v>0.57192351271033282</c:v>
                </c:pt>
              </c:numCache>
            </c:numRef>
          </c:yVal>
          <c:smooth val="0"/>
        </c:ser>
        <c:ser>
          <c:idx val="7"/>
          <c:order val="15"/>
          <c:tx>
            <c:strRef>
              <c:f>'20080219'!$Q$2</c:f>
              <c:strCache>
                <c:ptCount val="1"/>
                <c:pt idx="0">
                  <c:v>Theta 2 Ori B</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'20080219'!$P$48</c:f>
              <c:numCache>
                <c:formatCode>General</c:formatCode>
                <c:ptCount val="1"/>
                <c:pt idx="0">
                  <c:v>-1.0089657199692397</c:v>
                </c:pt>
              </c:numCache>
            </c:numRef>
          </c:xVal>
          <c:yVal>
            <c:numRef>
              <c:f>'20080219'!$Q$48</c:f>
              <c:numCache>
                <c:formatCode>General</c:formatCode>
                <c:ptCount val="1"/>
                <c:pt idx="0">
                  <c:v>1.1025586405825791</c:v>
                </c:pt>
              </c:numCache>
            </c:numRef>
          </c:yVal>
          <c:smooth val="0"/>
        </c:ser>
        <c:ser>
          <c:idx val="8"/>
          <c:order val="16"/>
          <c:tx>
            <c:strRef>
              <c:f>'20080219'!$S$2</c:f>
              <c:strCache>
                <c:ptCount val="1"/>
                <c:pt idx="0">
                  <c:v>Eta Ori</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'20080219'!$R$48</c:f>
              <c:numCache>
                <c:formatCode>General</c:formatCode>
                <c:ptCount val="1"/>
                <c:pt idx="0">
                  <c:v>0.32912452251064428</c:v>
                </c:pt>
              </c:numCache>
            </c:numRef>
          </c:xVal>
          <c:yVal>
            <c:numRef>
              <c:f>'20080219'!$S$48</c:f>
              <c:numCache>
                <c:formatCode>General</c:formatCode>
                <c:ptCount val="1"/>
                <c:pt idx="0">
                  <c:v>-0.24121077105573763</c:v>
                </c:pt>
              </c:numCache>
            </c:numRef>
          </c:yVal>
          <c:smooth val="0"/>
        </c:ser>
        <c:ser>
          <c:idx val="9"/>
          <c:order val="17"/>
          <c:tx>
            <c:strRef>
              <c:f>'20080219'!$U$2</c:f>
              <c:strCache>
                <c:ptCount val="1"/>
                <c:pt idx="0">
                  <c:v>Alnitak</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'20080219'!$T$48</c:f>
              <c:numCache>
                <c:formatCode>General</c:formatCode>
                <c:ptCount val="1"/>
                <c:pt idx="0">
                  <c:v>-0.43233674162702584</c:v>
                </c:pt>
              </c:numCache>
            </c:numRef>
          </c:xVal>
          <c:yVal>
            <c:numRef>
              <c:f>'20080219'!$U$48</c:f>
              <c:numCache>
                <c:formatCode>General</c:formatCode>
                <c:ptCount val="1"/>
                <c:pt idx="0">
                  <c:v>0.15197147109259124</c:v>
                </c:pt>
              </c:numCache>
            </c:numRef>
          </c:yVal>
          <c:smooth val="0"/>
        </c:ser>
        <c:ser>
          <c:idx val="10"/>
          <c:order val="18"/>
          <c:tx>
            <c:strRef>
              <c:f>'20080219'!$W$2</c:f>
              <c:strCache>
                <c:ptCount val="1"/>
                <c:pt idx="0">
                  <c:v>Castor</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'20080219'!$V$48</c:f>
              <c:numCache>
                <c:formatCode>General</c:formatCode>
                <c:ptCount val="1"/>
                <c:pt idx="0">
                  <c:v>-3.1490617443821201E-2</c:v>
                </c:pt>
              </c:numCache>
            </c:numRef>
          </c:xVal>
          <c:yVal>
            <c:numRef>
              <c:f>'20080219'!$W$48</c:f>
              <c:numCache>
                <c:formatCode>General</c:formatCode>
                <c:ptCount val="1"/>
                <c:pt idx="0">
                  <c:v>0.13138035239754942</c:v>
                </c:pt>
              </c:numCache>
            </c:numRef>
          </c:yVal>
          <c:smooth val="0"/>
        </c:ser>
        <c:ser>
          <c:idx val="11"/>
          <c:order val="19"/>
          <c:tx>
            <c:strRef>
              <c:f>'20080414'!$C$2</c:f>
              <c:strCache>
                <c:ptCount val="1"/>
                <c:pt idx="0">
                  <c:v>Gam Leo</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'20080414'!$C$48</c:f>
              <c:numCache>
                <c:formatCode>General</c:formatCode>
                <c:ptCount val="1"/>
                <c:pt idx="0">
                  <c:v>-5.8786510229697164E-2</c:v>
                </c:pt>
              </c:numCache>
            </c:numRef>
          </c:xVal>
          <c:yVal>
            <c:numRef>
              <c:f>'20080414'!$C$48</c:f>
              <c:numCache>
                <c:formatCode>General</c:formatCode>
                <c:ptCount val="1"/>
                <c:pt idx="0">
                  <c:v>-5.8786510229697164E-2</c:v>
                </c:pt>
              </c:numCache>
            </c:numRef>
          </c:yVal>
          <c:smooth val="0"/>
        </c:ser>
        <c:ser>
          <c:idx val="12"/>
          <c:order val="20"/>
          <c:tx>
            <c:strRef>
              <c:f>'20080414'!$E$2</c:f>
              <c:strCache>
                <c:ptCount val="1"/>
                <c:pt idx="0">
                  <c:v>Xi Uma</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'20080414'!$E$48</c:f>
              <c:numCache>
                <c:formatCode>General</c:formatCode>
                <c:ptCount val="1"/>
                <c:pt idx="0">
                  <c:v>7.8584433469486958E-2</c:v>
                </c:pt>
              </c:numCache>
            </c:numRef>
          </c:xVal>
          <c:yVal>
            <c:numRef>
              <c:f>'20080414'!$E$48</c:f>
              <c:numCache>
                <c:formatCode>General</c:formatCode>
                <c:ptCount val="1"/>
                <c:pt idx="0">
                  <c:v>7.8584433469486958E-2</c:v>
                </c:pt>
              </c:numCache>
            </c:numRef>
          </c:yVal>
          <c:smooth val="0"/>
        </c:ser>
        <c:dLbls>
          <c:showLegendKey val="0"/>
          <c:showVal val="0"/>
          <c:showCatName val="0"/>
          <c:showSerName val="0"/>
          <c:showPercent val="0"/>
          <c:showBubbleSize val="0"/>
        </c:dLbls>
        <c:axId val="163646848"/>
        <c:axId val="163647424"/>
      </c:scatterChart>
      <c:valAx>
        <c:axId val="163646848"/>
        <c:scaling>
          <c:orientation val="minMax"/>
          <c:max val="1.5"/>
          <c:min val="-1.5"/>
        </c:scaling>
        <c:delete val="0"/>
        <c:axPos val="b"/>
        <c:majorGridlines/>
        <c:minorGridlines>
          <c:spPr>
            <a:ln>
              <a:prstDash val="sysDot"/>
            </a:ln>
          </c:spPr>
        </c:minorGridlines>
        <c:numFmt formatCode="#,##0.0" sourceLinked="0"/>
        <c:majorTickMark val="out"/>
        <c:minorTickMark val="none"/>
        <c:tickLblPos val="nextTo"/>
        <c:spPr>
          <a:solidFill>
            <a:schemeClr val="bg1"/>
          </a:solidFill>
        </c:spPr>
        <c:txPr>
          <a:bodyPr rot="0" vert="horz"/>
          <a:lstStyle/>
          <a:p>
            <a:pPr>
              <a:defRPr sz="1200" b="1" i="0" u="none" strike="noStrike" baseline="0">
                <a:solidFill>
                  <a:srgbClr val="000000"/>
                </a:solidFill>
                <a:latin typeface="Calibri"/>
                <a:ea typeface="Calibri"/>
                <a:cs typeface="Calibri"/>
              </a:defRPr>
            </a:pPr>
            <a:endParaRPr lang="en-US"/>
          </a:p>
        </c:txPr>
        <c:crossAx val="163647424"/>
        <c:crossesAt val="-100"/>
        <c:crossBetween val="midCat"/>
        <c:majorUnit val="0.5"/>
      </c:valAx>
      <c:valAx>
        <c:axId val="163647424"/>
        <c:scaling>
          <c:orientation val="minMax"/>
          <c:max val="1.5"/>
          <c:min val="-1.5"/>
        </c:scaling>
        <c:delete val="0"/>
        <c:axPos val="l"/>
        <c:majorGridlines/>
        <c:minorGridlines>
          <c:spPr>
            <a:ln>
              <a:prstDash val="sysDot"/>
            </a:ln>
          </c:spPr>
        </c:minorGridlines>
        <c:numFmt formatCode="#,##0.0" sourceLinked="0"/>
        <c:majorTickMark val="out"/>
        <c:minorTickMark val="none"/>
        <c:tickLblPos val="nextTo"/>
        <c:spPr>
          <a:solidFill>
            <a:sysClr val="window" lastClr="FFFFFF"/>
          </a:solidFill>
        </c:spPr>
        <c:txPr>
          <a:bodyPr rot="0" vert="horz"/>
          <a:lstStyle/>
          <a:p>
            <a:pPr>
              <a:defRPr sz="1200" b="1" i="0" u="none" strike="noStrike" baseline="0">
                <a:solidFill>
                  <a:srgbClr val="000000"/>
                </a:solidFill>
                <a:latin typeface="Calibri"/>
                <a:ea typeface="Calibri"/>
                <a:cs typeface="Calibri"/>
              </a:defRPr>
            </a:pPr>
            <a:endParaRPr lang="en-US"/>
          </a:p>
        </c:txPr>
        <c:crossAx val="163646848"/>
        <c:crossesAt val="-100"/>
        <c:crossBetween val="midCat"/>
        <c:majorUnit val="0.5"/>
      </c:valAx>
    </c:plotArea>
    <c:legend>
      <c:legendPos val="r"/>
      <c:layout>
        <c:manualLayout>
          <c:xMode val="edge"/>
          <c:yMode val="edge"/>
          <c:wMode val="edge"/>
          <c:hMode val="edge"/>
          <c:x val="0"/>
          <c:y val="0.74175824175824179"/>
          <c:w val="0.98206278026905647"/>
          <c:h val="0.85714285714285765"/>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276359600443952"/>
          <c:y val="0.15660685154975529"/>
          <c:w val="0.75915649278579489"/>
          <c:h val="0.6835236541598696"/>
        </c:manualLayout>
      </c:layout>
      <c:barChart>
        <c:barDir val="col"/>
        <c:grouping val="clustered"/>
        <c:varyColors val="0"/>
        <c:ser>
          <c:idx val="0"/>
          <c:order val="0"/>
          <c:tx>
            <c:strRef>
              <c:f>'20080219'!$B$23</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'20080219'!$C$30:$W$30</c:f>
              <c:numCache>
                <c:formatCode>General</c:formatCode>
                <c:ptCount val="21"/>
                <c:pt idx="0">
                  <c:v>2.5474716683154125E-3</c:v>
                </c:pt>
                <c:pt idx="2">
                  <c:v>9.4750249028871525E-5</c:v>
                </c:pt>
                <c:pt idx="4">
                  <c:v>-1.8298738250608765E-3</c:v>
                </c:pt>
                <c:pt idx="6">
                  <c:v>-1.3187321855373246E-3</c:v>
                </c:pt>
                <c:pt idx="8">
                  <c:v>-3.6260995289521536E-3</c:v>
                </c:pt>
                <c:pt idx="10">
                  <c:v>1.6748037849920183E-4</c:v>
                </c:pt>
                <c:pt idx="12">
                  <c:v>-1.2233276017997868E-3</c:v>
                </c:pt>
                <c:pt idx="14">
                  <c:v>-1.1643597948376994E-3</c:v>
                </c:pt>
                <c:pt idx="16">
                  <c:v>3.171084128843063E-2</c:v>
                </c:pt>
                <c:pt idx="18">
                  <c:v>-3.5143290259252724E-4</c:v>
                </c:pt>
                <c:pt idx="20">
                  <c:v>-2.2635861449414041E-3</c:v>
                </c:pt>
              </c:numCache>
            </c:numRef>
          </c:val>
        </c:ser>
        <c:dLbls>
          <c:showLegendKey val="0"/>
          <c:showVal val="0"/>
          <c:showCatName val="0"/>
          <c:showSerName val="0"/>
          <c:showPercent val="0"/>
          <c:showBubbleSize val="0"/>
        </c:dLbls>
        <c:gapWidth val="0"/>
        <c:axId val="164023808"/>
        <c:axId val="164800192"/>
      </c:barChart>
      <c:catAx>
        <c:axId val="164023808"/>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164800192"/>
        <c:crosses val="autoZero"/>
        <c:auto val="1"/>
        <c:lblAlgn val="ctr"/>
        <c:lblOffset val="100"/>
        <c:noMultiLvlLbl val="0"/>
      </c:catAx>
      <c:valAx>
        <c:axId val="164800192"/>
        <c:scaling>
          <c:orientation val="minMax"/>
          <c:max val="6.0000000000000105E-3"/>
          <c:min val="-6.0000000000000105E-3"/>
        </c:scaling>
        <c:delete val="0"/>
        <c:axPos val="l"/>
        <c:majorGridlines/>
        <c:title>
          <c:tx>
            <c:rich>
              <a:bodyPr/>
              <a:lstStyle/>
              <a:p>
                <a:pPr>
                  <a:defRPr sz="1600" b="1" i="0" u="none" strike="noStrike" baseline="0">
                    <a:solidFill>
                      <a:srgbClr val="000000"/>
                    </a:solidFill>
                    <a:latin typeface="Calibri"/>
                    <a:ea typeface="Calibri"/>
                    <a:cs typeface="Calibri"/>
                  </a:defRPr>
                </a:pPr>
                <a:r>
                  <a:t>Plate Scale Residuals  (arc sec / pixel)</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164023808"/>
        <c:crosses val="autoZero"/>
        <c:crossBetween val="between"/>
        <c:majorUnit val="2.0000000000000048E-3"/>
        <c:minorUnit val="5.0000000000000034E-4"/>
      </c:valAx>
    </c:plotArea>
    <c:legend>
      <c:legendPos val="r"/>
      <c:layout>
        <c:manualLayout>
          <c:xMode val="edge"/>
          <c:yMode val="edge"/>
          <c:wMode val="edge"/>
          <c:hMode val="edge"/>
          <c:x val="0.96004439511653761"/>
          <c:y val="0.50897226753670477"/>
          <c:w val="0.99001109877913429"/>
          <c:h val="0.55628058727569341"/>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209766925638194"/>
          <c:y val="0.15986949429037575"/>
          <c:w val="0.77469478357380961"/>
          <c:h val="0.68026101141924955"/>
        </c:manualLayout>
      </c:layout>
      <c:barChart>
        <c:barDir val="col"/>
        <c:grouping val="clustered"/>
        <c:varyColors val="0"/>
        <c:ser>
          <c:idx val="1"/>
          <c:order val="0"/>
          <c:tx>
            <c:strRef>
              <c:f>'20080219'!$B$26</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'20080219'!$C$33:$W$33</c:f>
              <c:numCache>
                <c:formatCode>General</c:formatCode>
                <c:ptCount val="21"/>
                <c:pt idx="0">
                  <c:v>1.9575470034170905</c:v>
                </c:pt>
                <c:pt idx="2">
                  <c:v>0.13985078040610688</c:v>
                </c:pt>
                <c:pt idx="4">
                  <c:v>1.1828502939752923</c:v>
                </c:pt>
                <c:pt idx="6">
                  <c:v>-3.4084463584897549</c:v>
                </c:pt>
                <c:pt idx="8">
                  <c:v>0.86344379447234587</c:v>
                </c:pt>
                <c:pt idx="10">
                  <c:v>5.9679399514795932</c:v>
                </c:pt>
                <c:pt idx="12">
                  <c:v>-0.65080347359588586</c:v>
                </c:pt>
                <c:pt idx="14">
                  <c:v>-0.95282943246260743</c:v>
                </c:pt>
                <c:pt idx="16">
                  <c:v>7.1896355178070621</c:v>
                </c:pt>
                <c:pt idx="18">
                  <c:v>-11.744489142745238</c:v>
                </c:pt>
                <c:pt idx="20">
                  <c:v>-1.2017286919024173</c:v>
                </c:pt>
              </c:numCache>
            </c:numRef>
          </c:val>
        </c:ser>
        <c:dLbls>
          <c:showLegendKey val="0"/>
          <c:showVal val="0"/>
          <c:showCatName val="0"/>
          <c:showSerName val="0"/>
          <c:showPercent val="0"/>
          <c:showBubbleSize val="0"/>
        </c:dLbls>
        <c:gapWidth val="0"/>
        <c:axId val="164022272"/>
        <c:axId val="164802496"/>
      </c:barChart>
      <c:catAx>
        <c:axId val="164022272"/>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164802496"/>
        <c:crosses val="autoZero"/>
        <c:auto val="1"/>
        <c:lblAlgn val="ctr"/>
        <c:lblOffset val="100"/>
        <c:noMultiLvlLbl val="0"/>
      </c:catAx>
      <c:valAx>
        <c:axId val="164802496"/>
        <c:scaling>
          <c:orientation val="minMax"/>
          <c:max val="20"/>
          <c:min val="-20"/>
        </c:scaling>
        <c:delete val="0"/>
        <c:axPos val="l"/>
        <c:majorGridlines/>
        <c:title>
          <c:tx>
            <c:rich>
              <a:bodyPr/>
              <a:lstStyle/>
              <a:p>
                <a:pPr>
                  <a:defRPr sz="1600" b="1" i="0" u="none" strike="noStrike" baseline="0">
                    <a:solidFill>
                      <a:srgbClr val="000000"/>
                    </a:solidFill>
                    <a:latin typeface="Calibri"/>
                    <a:ea typeface="Calibri"/>
                    <a:cs typeface="Calibri"/>
                  </a:defRPr>
                </a:pPr>
                <a:r>
                  <a:t>Plate Rotation Residuals (deg)</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164022272"/>
        <c:crosses val="autoZero"/>
        <c:crossBetween val="between"/>
        <c:majorUnit val="5"/>
        <c:minorUnit val="1"/>
      </c:valAx>
    </c:plotArea>
    <c:legend>
      <c:legendPos val="r"/>
      <c:layout>
        <c:manualLayout>
          <c:xMode val="edge"/>
          <c:yMode val="edge"/>
          <c:wMode val="edge"/>
          <c:hMode val="edge"/>
          <c:x val="0.96004439511653761"/>
          <c:y val="0.51060358890701318"/>
          <c:w val="0.99001109877913429"/>
          <c:h val="0.5579119086460036"/>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orientation="portrait" r:id="rId1"/>
  <headerFooter>
    <oddHeader>&amp;L&amp;D&amp;C&amp;Z&amp;F - &amp;A&amp;R&amp;T</oddHeader>
    <oddFooter>Page &amp;P of &amp;N</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67" workbookViewId="0"/>
  </sheetViews>
  <pageMargins left="0.7" right="0.7" top="0.75" bottom="0.75" header="0.3" footer="0.3"/>
  <pageSetup orientation="portrait" r:id="rId1"/>
  <drawing r:id="rId2"/>
</chartsheet>
</file>

<file path=xl/chartsheets/sheet3.xml><?xml version="1.0" encoding="utf-8"?>
<chartsheet xmlns="http://schemas.openxmlformats.org/spreadsheetml/2006/main" xmlns:r="http://schemas.openxmlformats.org/officeDocument/2006/relationships">
  <sheetPr/>
  <sheetViews>
    <sheetView zoomScale="67" workbookViewId="0"/>
  </sheetViews>
  <pageMargins left="0.7" right="0.7" top="0.75" bottom="0.75" header="0.3" footer="0.3"/>
  <pageSetup orientation="portrait"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152400</xdr:rowOff>
    </xdr:from>
    <xdr:to>
      <xdr:col>10</xdr:col>
      <xdr:colOff>514350</xdr:colOff>
      <xdr:row>24</xdr:row>
      <xdr:rowOff>85725</xdr:rowOff>
    </xdr:to>
    <xdr:graphicFrame macro="">
      <xdr:nvGraphicFramePr>
        <xdr:cNvPr id="977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6372225" cy="69342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0.05544</cdr:x>
      <cdr:y>0.86622</cdr:y>
    </cdr:from>
    <cdr:to>
      <cdr:x>0.95736</cdr:x>
      <cdr:y>0.98904</cdr:y>
    </cdr:to>
    <cdr:sp macro="" textlink="">
      <cdr:nvSpPr>
        <cdr:cNvPr id="3" name="TextBox 2"/>
        <cdr:cNvSpPr txBox="1"/>
      </cdr:nvSpPr>
      <cdr:spPr>
        <a:xfrm xmlns:a="http://schemas.openxmlformats.org/drawingml/2006/main">
          <a:off x="353804" y="7496175"/>
          <a:ext cx="5755828" cy="9810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2007-07-02 - Open Squares, data</a:t>
          </a:r>
          <a:r>
            <a:rPr lang="en-US" sz="1100" baseline="0"/>
            <a:t> taken at 2000mm FL (f/10), measured mostly in LVIES</a:t>
          </a:r>
          <a:endParaRPr lang="en-US" sz="1100"/>
        </a:p>
        <a:p xmlns:a="http://schemas.openxmlformats.org/drawingml/2006/main">
          <a:r>
            <a:rPr lang="en-US" sz="1100" baseline="0"/>
            <a:t>2007-09-19</a:t>
          </a:r>
          <a:r>
            <a:rPr lang="en-US" sz="1100">
              <a:latin typeface="+mn-lt"/>
              <a:ea typeface="+mn-ea"/>
              <a:cs typeface="+mn-cs"/>
            </a:rPr>
            <a:t> - Open Triangles, data</a:t>
          </a:r>
          <a:r>
            <a:rPr lang="en-US" sz="1100" baseline="0">
              <a:latin typeface="+mn-lt"/>
              <a:ea typeface="+mn-ea"/>
              <a:cs typeface="+mn-cs"/>
            </a:rPr>
            <a:t> taken at 2000mm FL (f/10), measured mostly in IDL/XTV</a:t>
          </a:r>
          <a:endParaRPr lang="en-US" sz="1100" baseline="0"/>
        </a:p>
        <a:p xmlns:a="http://schemas.openxmlformats.org/drawingml/2006/main">
          <a:r>
            <a:rPr lang="en-US" sz="1100" baseline="0"/>
            <a:t>2008-02-19</a:t>
          </a:r>
          <a:r>
            <a:rPr lang="en-US" sz="1100">
              <a:latin typeface="+mn-lt"/>
              <a:ea typeface="+mn-ea"/>
              <a:cs typeface="+mn-cs"/>
            </a:rPr>
            <a:t> - Circles, data</a:t>
          </a:r>
          <a:r>
            <a:rPr lang="en-US" sz="1100" baseline="0">
              <a:latin typeface="+mn-lt"/>
              <a:ea typeface="+mn-ea"/>
              <a:cs typeface="+mn-cs"/>
            </a:rPr>
            <a:t> taken at 5500mm FL (f/27.5), measured mostly in IDL/XTV</a:t>
          </a:r>
          <a:endParaRPr lang="en-US" sz="1100" baseline="0"/>
        </a:p>
        <a:p xmlns:a="http://schemas.openxmlformats.org/drawingml/2006/main">
          <a:r>
            <a:rPr lang="en-US" sz="1100" baseline="0"/>
            <a:t>2008-04-14</a:t>
          </a:r>
          <a:r>
            <a:rPr lang="en-US" sz="1100">
              <a:latin typeface="+mn-lt"/>
              <a:ea typeface="+mn-ea"/>
              <a:cs typeface="+mn-cs"/>
            </a:rPr>
            <a:t> - Diamonds, data</a:t>
          </a:r>
          <a:r>
            <a:rPr lang="en-US" sz="1100" baseline="0">
              <a:latin typeface="+mn-lt"/>
              <a:ea typeface="+mn-ea"/>
              <a:cs typeface="+mn-cs"/>
            </a:rPr>
            <a:t> taken at 5500mm FL (f/27.5), measured mostly in LVIEW</a:t>
          </a:r>
          <a:endParaRPr lang="en-US" sz="1100" baseline="0"/>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6"/>
  <sheetViews>
    <sheetView workbookViewId="0">
      <pane xSplit="1" ySplit="2" topLeftCell="B3" activePane="bottomRight" state="frozenSplit"/>
      <selection pane="topRight"/>
      <selection pane="bottomLeft" activeCell="A3" sqref="A3"/>
      <selection pane="bottomRight" activeCell="E35" sqref="E35"/>
    </sheetView>
  </sheetViews>
  <sheetFormatPr defaultColWidth="9.109375" defaultRowHeight="15" customHeight="1" x14ac:dyDescent="0.3"/>
  <cols>
    <col min="1" max="1" width="25.5546875" style="28" customWidth="1"/>
    <col min="2" max="3" width="14.88671875" style="28" customWidth="1"/>
    <col min="4" max="6" width="11.6640625" style="28" customWidth="1"/>
    <col min="7" max="7" width="9.5546875" style="28" bestFit="1" customWidth="1"/>
    <col min="8" max="8" width="12" style="28" customWidth="1"/>
    <col min="9" max="16384" width="9.109375" style="28"/>
  </cols>
  <sheetData>
    <row r="1" spans="1:12" ht="15" customHeight="1" x14ac:dyDescent="0.3">
      <c r="A1" s="32"/>
      <c r="B1" s="32"/>
      <c r="C1" s="32"/>
      <c r="D1" s="32"/>
      <c r="E1" s="32"/>
      <c r="F1" s="32"/>
      <c r="G1" s="32"/>
      <c r="H1" s="32"/>
      <c r="I1" s="32"/>
      <c r="J1" s="32"/>
    </row>
    <row r="2" spans="1:12" s="27" customFormat="1" ht="15" customHeight="1" x14ac:dyDescent="0.3">
      <c r="A2" s="27" t="s">
        <v>79</v>
      </c>
      <c r="B2" s="27" t="s">
        <v>80</v>
      </c>
      <c r="I2" s="37"/>
      <c r="J2" s="37"/>
    </row>
    <row r="3" spans="1:12" s="27" customFormat="1" ht="15" customHeight="1" x14ac:dyDescent="0.3">
      <c r="A3" s="27">
        <v>0.25</v>
      </c>
      <c r="B3" s="27">
        <v>7</v>
      </c>
      <c r="C3" s="39" t="s">
        <v>104</v>
      </c>
    </row>
    <row r="4" spans="1:12" ht="15" customHeight="1" x14ac:dyDescent="0.3">
      <c r="A4" s="28">
        <v>0.5</v>
      </c>
      <c r="B4" s="27">
        <v>3</v>
      </c>
      <c r="C4" s="27" t="s">
        <v>105</v>
      </c>
      <c r="D4" s="27"/>
      <c r="E4" s="27"/>
      <c r="F4" s="27"/>
      <c r="G4" s="27"/>
      <c r="H4" s="27"/>
      <c r="I4" s="27"/>
      <c r="J4" s="27"/>
      <c r="K4" s="27"/>
      <c r="L4" s="27"/>
    </row>
    <row r="5" spans="1:12" ht="15" customHeight="1" x14ac:dyDescent="0.3">
      <c r="A5" s="27">
        <v>0.75</v>
      </c>
      <c r="B5" s="27">
        <v>2</v>
      </c>
      <c r="C5" s="27" t="s">
        <v>106</v>
      </c>
      <c r="D5" s="27"/>
      <c r="E5" s="27"/>
      <c r="F5" s="27"/>
      <c r="G5" s="27"/>
      <c r="H5" s="27"/>
      <c r="I5" s="27"/>
      <c r="J5" s="27"/>
      <c r="K5" s="27"/>
      <c r="L5" s="27"/>
    </row>
    <row r="6" spans="1:12" ht="15" customHeight="1" x14ac:dyDescent="0.3">
      <c r="A6" s="38">
        <v>1</v>
      </c>
      <c r="B6" s="27">
        <v>3</v>
      </c>
      <c r="C6" s="27" t="s">
        <v>107</v>
      </c>
      <c r="D6" s="27"/>
      <c r="E6" s="27"/>
      <c r="F6" s="27"/>
      <c r="G6" s="27"/>
      <c r="H6" s="27"/>
      <c r="I6" s="27"/>
      <c r="J6" s="27"/>
      <c r="K6" s="27"/>
      <c r="L6" s="27"/>
    </row>
    <row r="7" spans="1:12" ht="15" customHeight="1" x14ac:dyDescent="0.3">
      <c r="A7" s="38">
        <v>1.25</v>
      </c>
      <c r="B7" s="27">
        <v>3</v>
      </c>
      <c r="C7" s="27" t="s">
        <v>108</v>
      </c>
      <c r="D7" s="27"/>
      <c r="E7" s="27"/>
      <c r="F7" s="27"/>
      <c r="G7" s="27"/>
      <c r="H7" s="27"/>
      <c r="I7" s="27"/>
      <c r="J7" s="27"/>
      <c r="K7" s="27"/>
      <c r="L7" s="27"/>
    </row>
    <row r="8" spans="1:12" ht="15" customHeight="1" x14ac:dyDescent="0.3">
      <c r="A8" s="38">
        <v>1.5</v>
      </c>
      <c r="B8" s="27">
        <v>3</v>
      </c>
      <c r="C8" s="27" t="s">
        <v>109</v>
      </c>
      <c r="D8" s="27"/>
      <c r="E8" s="27"/>
      <c r="F8" s="27"/>
      <c r="G8" s="27"/>
      <c r="H8" s="27"/>
      <c r="I8" s="27"/>
      <c r="J8" s="27"/>
      <c r="K8" s="27"/>
      <c r="L8" s="27"/>
    </row>
    <row r="9" spans="1:12" ht="15" customHeight="1" x14ac:dyDescent="0.3">
      <c r="A9" s="27" t="s">
        <v>110</v>
      </c>
      <c r="B9" s="27">
        <v>0</v>
      </c>
      <c r="C9" s="39" t="s">
        <v>110</v>
      </c>
      <c r="D9" s="27"/>
      <c r="E9" s="27"/>
      <c r="F9" s="27"/>
      <c r="G9" s="27"/>
      <c r="H9" s="27"/>
      <c r="I9" s="27"/>
      <c r="J9" s="27"/>
      <c r="K9" s="27"/>
      <c r="L9" s="27"/>
    </row>
    <row r="10" spans="1:12" ht="15" customHeight="1" x14ac:dyDescent="0.3">
      <c r="B10" s="27">
        <f>SUM(B3:B9)</f>
        <v>21</v>
      </c>
      <c r="C10" s="27"/>
      <c r="D10" s="27"/>
      <c r="E10" s="27"/>
      <c r="F10" s="27"/>
      <c r="G10" s="27"/>
      <c r="H10" s="27"/>
      <c r="I10" s="27"/>
      <c r="J10" s="27"/>
      <c r="K10" s="27"/>
      <c r="L10" s="27"/>
    </row>
    <row r="11" spans="1:12" ht="15" customHeight="1" x14ac:dyDescent="0.3">
      <c r="A11" s="27"/>
      <c r="B11" s="27"/>
      <c r="C11" s="27"/>
      <c r="D11" s="27"/>
      <c r="E11" s="27"/>
      <c r="F11" s="27"/>
      <c r="G11" s="27"/>
      <c r="H11" s="27"/>
      <c r="I11" s="27"/>
      <c r="J11" s="27"/>
      <c r="K11" s="27"/>
      <c r="L11" s="27"/>
    </row>
    <row r="12" spans="1:12" s="33" customFormat="1" ht="15" customHeight="1" x14ac:dyDescent="0.3">
      <c r="A12" s="28"/>
      <c r="B12" s="27"/>
      <c r="C12" s="27"/>
      <c r="D12" s="27"/>
      <c r="E12" s="27"/>
      <c r="F12" s="27"/>
      <c r="G12" s="27"/>
      <c r="H12" s="27"/>
      <c r="I12" s="27"/>
      <c r="J12" s="27"/>
      <c r="K12" s="27"/>
      <c r="L12" s="27"/>
    </row>
    <row r="13" spans="1:12" ht="15" customHeight="1" x14ac:dyDescent="0.3">
      <c r="A13" s="27"/>
      <c r="B13" s="27"/>
      <c r="C13" s="27"/>
      <c r="D13" s="27"/>
      <c r="E13" s="27"/>
      <c r="F13" s="27"/>
      <c r="G13" s="27"/>
      <c r="H13" s="27"/>
      <c r="I13" s="27"/>
      <c r="J13" s="27"/>
      <c r="K13" s="27"/>
      <c r="L13" s="27"/>
    </row>
    <row r="14" spans="1:12" s="34" customFormat="1" ht="15" customHeight="1" x14ac:dyDescent="0.3">
      <c r="A14" s="28"/>
      <c r="B14" s="27"/>
      <c r="C14" s="27"/>
      <c r="D14" s="27"/>
      <c r="E14" s="27"/>
      <c r="F14" s="27"/>
      <c r="G14" s="27"/>
      <c r="H14" s="27"/>
      <c r="I14" s="27"/>
      <c r="J14" s="27"/>
      <c r="K14" s="27"/>
      <c r="L14" s="27"/>
    </row>
    <row r="15" spans="1:12" ht="15" customHeight="1" x14ac:dyDescent="0.3">
      <c r="A15" s="27"/>
      <c r="B15" s="27"/>
      <c r="C15" s="27"/>
      <c r="D15" s="27"/>
      <c r="E15" s="27"/>
      <c r="F15" s="27"/>
      <c r="G15" s="27"/>
      <c r="H15" s="27"/>
      <c r="I15" s="27"/>
      <c r="J15" s="27"/>
      <c r="K15" s="27"/>
      <c r="L15" s="27"/>
    </row>
    <row r="16" spans="1:12" ht="15" customHeight="1" x14ac:dyDescent="0.3">
      <c r="B16" s="27"/>
      <c r="C16" s="27"/>
      <c r="D16" s="27"/>
      <c r="E16" s="27"/>
      <c r="F16" s="27"/>
      <c r="G16" s="27"/>
      <c r="H16" s="27"/>
      <c r="I16" s="27"/>
      <c r="J16" s="27"/>
      <c r="K16" s="27"/>
      <c r="L16" s="27"/>
    </row>
    <row r="17" spans="1:12" ht="15" customHeight="1" x14ac:dyDescent="0.3">
      <c r="A17" s="27"/>
      <c r="B17" s="27"/>
      <c r="C17" s="27"/>
      <c r="D17" s="27"/>
      <c r="E17" s="27"/>
      <c r="F17" s="27"/>
      <c r="G17" s="27"/>
      <c r="H17" s="27"/>
      <c r="I17" s="27"/>
      <c r="J17" s="27"/>
      <c r="K17" s="27"/>
      <c r="L17" s="27"/>
    </row>
    <row r="18" spans="1:12" ht="15" customHeight="1" x14ac:dyDescent="0.3">
      <c r="B18" s="27"/>
      <c r="C18" s="27"/>
      <c r="D18" s="27"/>
      <c r="E18" s="27"/>
      <c r="F18" s="27"/>
      <c r="G18" s="27"/>
      <c r="H18" s="27"/>
      <c r="I18" s="27"/>
      <c r="J18" s="27"/>
      <c r="K18" s="27"/>
      <c r="L18" s="27"/>
    </row>
    <row r="19" spans="1:12" ht="15" customHeight="1" x14ac:dyDescent="0.3">
      <c r="A19" s="27"/>
      <c r="B19" s="27"/>
      <c r="C19" s="27"/>
      <c r="D19" s="27"/>
      <c r="E19" s="27"/>
      <c r="F19" s="27"/>
      <c r="G19" s="27"/>
      <c r="H19" s="27"/>
      <c r="I19" s="27"/>
      <c r="J19" s="27"/>
      <c r="K19" s="27"/>
      <c r="L19" s="27"/>
    </row>
    <row r="20" spans="1:12" ht="15" customHeight="1" x14ac:dyDescent="0.3">
      <c r="B20" s="27"/>
      <c r="C20" s="27"/>
      <c r="D20" s="27"/>
      <c r="E20" s="27"/>
      <c r="F20" s="27"/>
      <c r="G20" s="27"/>
      <c r="H20" s="27"/>
      <c r="I20" s="27"/>
      <c r="J20" s="27"/>
      <c r="K20" s="27"/>
      <c r="L20" s="27"/>
    </row>
    <row r="21" spans="1:12" s="35" customFormat="1" ht="15" customHeight="1" x14ac:dyDescent="0.3">
      <c r="A21" s="27"/>
      <c r="B21" s="27"/>
      <c r="C21" s="27"/>
      <c r="D21" s="27"/>
      <c r="E21" s="27"/>
      <c r="F21" s="27"/>
      <c r="G21" s="27"/>
      <c r="H21" s="27"/>
      <c r="I21" s="27"/>
      <c r="J21" s="27"/>
      <c r="K21" s="27"/>
      <c r="L21" s="27"/>
    </row>
    <row r="22" spans="1:12" ht="15" customHeight="1" x14ac:dyDescent="0.3">
      <c r="B22" s="27"/>
      <c r="C22" s="27"/>
      <c r="D22" s="27"/>
      <c r="E22" s="27"/>
      <c r="F22" s="27"/>
      <c r="G22" s="27"/>
      <c r="H22" s="27"/>
      <c r="I22" s="27"/>
      <c r="J22" s="27"/>
      <c r="K22" s="27"/>
      <c r="L22" s="27"/>
    </row>
    <row r="23" spans="1:12" ht="15" customHeight="1" x14ac:dyDescent="0.3">
      <c r="A23" s="27"/>
      <c r="B23" s="27"/>
      <c r="C23" s="27"/>
      <c r="D23" s="27"/>
      <c r="E23" s="27"/>
      <c r="F23" s="27"/>
      <c r="G23" s="27"/>
      <c r="H23" s="27"/>
      <c r="I23" s="27"/>
      <c r="J23" s="27"/>
      <c r="K23" s="27"/>
      <c r="L23" s="27"/>
    </row>
    <row r="24" spans="1:12" ht="15" customHeight="1" x14ac:dyDescent="0.3">
      <c r="B24" s="27"/>
      <c r="C24" s="27"/>
      <c r="D24" s="27"/>
      <c r="E24" s="27"/>
      <c r="F24" s="27"/>
      <c r="G24" s="27"/>
      <c r="H24" s="27"/>
      <c r="I24" s="27"/>
      <c r="J24" s="27"/>
      <c r="K24" s="27"/>
      <c r="L24" s="27"/>
    </row>
    <row r="25" spans="1:12" ht="15" customHeight="1" x14ac:dyDescent="0.3">
      <c r="A25" s="27"/>
      <c r="B25" s="27"/>
      <c r="C25" s="27"/>
      <c r="D25" s="27"/>
      <c r="E25" s="27"/>
      <c r="F25" s="27"/>
      <c r="G25" s="27"/>
      <c r="H25" s="27"/>
      <c r="I25" s="27"/>
      <c r="J25" s="27"/>
      <c r="K25" s="27"/>
      <c r="L25" s="27"/>
    </row>
    <row r="26" spans="1:12" ht="15" customHeight="1" x14ac:dyDescent="0.3">
      <c r="B26" s="27"/>
      <c r="C26" s="27"/>
      <c r="D26" s="27"/>
      <c r="E26" s="27"/>
      <c r="F26" s="27"/>
      <c r="G26" s="27"/>
      <c r="H26" s="27"/>
      <c r="I26" s="27"/>
      <c r="J26" s="27"/>
      <c r="K26" s="27"/>
      <c r="L26" s="27"/>
    </row>
    <row r="27" spans="1:12" ht="15" customHeight="1" x14ac:dyDescent="0.3">
      <c r="A27" s="27" t="s">
        <v>84</v>
      </c>
      <c r="B27" s="27" t="s">
        <v>87</v>
      </c>
      <c r="C27" s="27" t="s">
        <v>90</v>
      </c>
      <c r="D27" s="27" t="s">
        <v>85</v>
      </c>
      <c r="E27" s="27" t="s">
        <v>86</v>
      </c>
      <c r="F27" s="27"/>
      <c r="G27" s="27"/>
      <c r="H27" s="27"/>
      <c r="I27" s="27"/>
      <c r="J27" s="27"/>
      <c r="K27" s="27"/>
      <c r="L27" s="27"/>
    </row>
    <row r="28" spans="1:12" ht="15" customHeight="1" x14ac:dyDescent="0.3">
      <c r="A28" s="27">
        <v>20070702</v>
      </c>
      <c r="B28" s="27">
        <f>'20070702'!B56</f>
        <v>3</v>
      </c>
      <c r="C28" s="27">
        <f>'20070702'!B53</f>
        <v>0.17123897532796964</v>
      </c>
      <c r="D28" s="27">
        <f>'20070702'!B54</f>
        <v>0.62400864783889121</v>
      </c>
      <c r="E28" s="27">
        <f>'20070702'!B55</f>
        <v>0.79773351093210909</v>
      </c>
      <c r="F28" s="27"/>
      <c r="G28" s="27"/>
      <c r="H28" s="27"/>
      <c r="I28" s="27"/>
      <c r="J28" s="27"/>
      <c r="K28" s="27"/>
      <c r="L28" s="27"/>
    </row>
    <row r="29" spans="1:12" ht="15" customHeight="1" x14ac:dyDescent="0.3">
      <c r="A29" s="27">
        <v>20070919</v>
      </c>
      <c r="B29" s="27">
        <f>'20070919'!B56</f>
        <v>5</v>
      </c>
      <c r="C29" s="27">
        <f>'20070919'!B53</f>
        <v>0.93038505324859355</v>
      </c>
      <c r="D29" s="27">
        <f>'20070919'!B54</f>
        <v>0.90138874971459759</v>
      </c>
      <c r="E29" s="27">
        <f>'20070919'!B55</f>
        <v>0.28927128808460395</v>
      </c>
      <c r="F29" s="27"/>
      <c r="G29" s="27"/>
      <c r="H29" s="27"/>
      <c r="I29" s="27"/>
      <c r="J29" s="27"/>
      <c r="K29" s="27"/>
      <c r="L29" s="27"/>
    </row>
    <row r="30" spans="1:12" ht="15" customHeight="1" x14ac:dyDescent="0.3">
      <c r="A30" s="27">
        <v>20080219</v>
      </c>
      <c r="B30" s="27">
        <f>'20080219'!B56</f>
        <v>11</v>
      </c>
      <c r="C30" s="27">
        <f>'20080219'!B53</f>
        <v>0.45826890161423783</v>
      </c>
      <c r="D30" s="27">
        <f>'20080219'!B54</f>
        <v>0.62724536904337624</v>
      </c>
      <c r="E30" s="27">
        <f>'20080219'!B55</f>
        <v>0.46580151792565805</v>
      </c>
      <c r="F30" s="27"/>
      <c r="G30" s="27"/>
      <c r="H30" s="27"/>
      <c r="I30" s="27"/>
      <c r="J30" s="27"/>
      <c r="K30" s="27"/>
      <c r="L30" s="27"/>
    </row>
    <row r="31" spans="1:12" ht="15" customHeight="1" x14ac:dyDescent="0.3">
      <c r="A31" s="28">
        <v>20080414</v>
      </c>
      <c r="B31" s="27">
        <f>'20080414'!B56</f>
        <v>2</v>
      </c>
      <c r="C31" s="27">
        <f>'20080414'!B53</f>
        <v>0.12323415736291912</v>
      </c>
      <c r="D31" s="27">
        <f>'20080414'!B54</f>
        <v>0.12323415736291912</v>
      </c>
      <c r="E31" s="27">
        <f>'20080414'!B55</f>
        <v>4.9587990698914362E-2</v>
      </c>
      <c r="F31" s="27"/>
      <c r="G31" s="27"/>
      <c r="H31" s="27"/>
      <c r="I31" s="27"/>
      <c r="J31" s="27"/>
      <c r="K31" s="27"/>
      <c r="L31" s="27"/>
    </row>
    <row r="32" spans="1:12" ht="15" customHeight="1" x14ac:dyDescent="0.3">
      <c r="A32" s="27" t="s">
        <v>88</v>
      </c>
      <c r="B32" s="27">
        <f>SUM(B28:B31)</f>
        <v>21</v>
      </c>
      <c r="C32" s="27"/>
      <c r="D32" s="27">
        <f>(D28*B28+D29*B29+D30*B30+D31*B31)/B32</f>
        <v>0.64405414601393518</v>
      </c>
      <c r="E32" s="27">
        <f>(E28*B28+E29*B29+E30*B30+E31*B31)/B32</f>
        <v>0.43154998341901979</v>
      </c>
      <c r="F32" s="27"/>
      <c r="G32" s="27"/>
      <c r="H32" s="27"/>
      <c r="I32" s="27"/>
      <c r="J32" s="27"/>
      <c r="K32" s="27"/>
      <c r="L32" s="27"/>
    </row>
    <row r="33" spans="1:12" ht="15" customHeight="1" x14ac:dyDescent="0.3">
      <c r="B33" s="27"/>
      <c r="C33" s="27"/>
      <c r="D33" s="27"/>
      <c r="E33" s="27"/>
      <c r="F33" s="27"/>
      <c r="G33" s="27"/>
      <c r="H33" s="27"/>
      <c r="I33" s="27"/>
      <c r="J33" s="27"/>
      <c r="K33" s="27"/>
      <c r="L33" s="27"/>
    </row>
    <row r="34" spans="1:12" ht="15" customHeight="1" x14ac:dyDescent="0.3">
      <c r="A34" s="27"/>
      <c r="B34" s="27"/>
      <c r="C34" s="27"/>
      <c r="D34" s="27"/>
      <c r="E34" s="27"/>
      <c r="F34" s="27"/>
      <c r="G34" s="27"/>
      <c r="H34" s="27"/>
      <c r="I34" s="27"/>
      <c r="J34" s="27"/>
      <c r="K34" s="27"/>
      <c r="L34" s="27"/>
    </row>
    <row r="35" spans="1:12" ht="15" customHeight="1" x14ac:dyDescent="0.3">
      <c r="B35" s="27"/>
      <c r="C35" s="27"/>
      <c r="D35" s="27"/>
      <c r="E35" s="27"/>
      <c r="F35" s="27"/>
      <c r="G35" s="27"/>
      <c r="H35" s="27"/>
      <c r="I35" s="27"/>
      <c r="J35" s="27"/>
      <c r="K35" s="27"/>
      <c r="L35" s="27"/>
    </row>
    <row r="36" spans="1:12" ht="15" customHeight="1" x14ac:dyDescent="0.3">
      <c r="A36" s="27"/>
      <c r="B36" s="27"/>
      <c r="C36" s="27"/>
      <c r="D36" s="27"/>
      <c r="E36" s="27"/>
      <c r="F36" s="27"/>
      <c r="G36" s="27"/>
      <c r="H36" s="27"/>
      <c r="I36" s="27"/>
      <c r="J36" s="27"/>
      <c r="K36" s="27"/>
      <c r="L36" s="27"/>
    </row>
    <row r="37" spans="1:12" s="35" customFormat="1" ht="15" customHeight="1" x14ac:dyDescent="0.3">
      <c r="A37" s="28"/>
      <c r="B37" s="27"/>
      <c r="C37" s="27"/>
      <c r="D37" s="27"/>
      <c r="E37" s="27"/>
      <c r="F37" s="27"/>
      <c r="G37" s="27"/>
      <c r="H37" s="27"/>
      <c r="I37" s="27"/>
      <c r="J37" s="27"/>
      <c r="K37" s="27"/>
      <c r="L37" s="27"/>
    </row>
    <row r="38" spans="1:12" ht="15" customHeight="1" x14ac:dyDescent="0.3">
      <c r="A38" s="27"/>
      <c r="B38" s="27"/>
      <c r="C38" s="27"/>
      <c r="D38" s="27"/>
      <c r="E38" s="27"/>
      <c r="F38" s="27"/>
      <c r="G38" s="27"/>
      <c r="H38" s="27"/>
      <c r="I38" s="27"/>
      <c r="J38" s="27"/>
      <c r="K38" s="27"/>
      <c r="L38" s="27"/>
    </row>
    <row r="39" spans="1:12" ht="15" customHeight="1" x14ac:dyDescent="0.3">
      <c r="B39" s="27"/>
      <c r="C39" s="27"/>
      <c r="D39" s="27"/>
      <c r="E39" s="27"/>
      <c r="F39" s="27"/>
      <c r="G39" s="27"/>
      <c r="H39" s="27"/>
      <c r="I39" s="27"/>
      <c r="J39" s="27"/>
      <c r="K39" s="27"/>
      <c r="L39" s="27"/>
    </row>
    <row r="40" spans="1:12" ht="15" customHeight="1" x14ac:dyDescent="0.3">
      <c r="A40" s="27"/>
      <c r="B40" s="27"/>
      <c r="C40" s="27"/>
      <c r="D40" s="27"/>
      <c r="E40" s="27"/>
      <c r="F40" s="27"/>
      <c r="G40" s="27"/>
      <c r="H40" s="27"/>
      <c r="I40" s="27"/>
      <c r="J40" s="27"/>
      <c r="K40" s="27"/>
      <c r="L40" s="27"/>
    </row>
    <row r="41" spans="1:12" ht="15" customHeight="1" x14ac:dyDescent="0.3">
      <c r="B41" s="27"/>
      <c r="C41" s="27"/>
      <c r="D41" s="27"/>
      <c r="E41" s="27"/>
      <c r="F41" s="27"/>
      <c r="G41" s="27"/>
      <c r="H41" s="27"/>
      <c r="I41" s="27"/>
      <c r="J41" s="27"/>
      <c r="K41" s="27"/>
      <c r="L41" s="27"/>
    </row>
    <row r="42" spans="1:12" ht="15" customHeight="1" x14ac:dyDescent="0.3">
      <c r="A42" s="27"/>
      <c r="B42" s="27"/>
      <c r="C42" s="27"/>
      <c r="D42" s="27"/>
      <c r="E42" s="27"/>
      <c r="F42" s="27"/>
      <c r="G42" s="27"/>
      <c r="H42" s="27"/>
      <c r="I42" s="27"/>
      <c r="J42" s="27"/>
      <c r="K42" s="27"/>
      <c r="L42" s="27"/>
    </row>
    <row r="43" spans="1:12" ht="15" customHeight="1" x14ac:dyDescent="0.3">
      <c r="B43" s="27"/>
      <c r="C43" s="27"/>
      <c r="D43" s="27"/>
      <c r="E43" s="27"/>
      <c r="F43" s="27"/>
      <c r="G43" s="27"/>
      <c r="H43" s="27"/>
      <c r="I43" s="27"/>
      <c r="J43" s="27"/>
      <c r="K43" s="27"/>
      <c r="L43" s="27"/>
    </row>
    <row r="44" spans="1:12" ht="15" customHeight="1" x14ac:dyDescent="0.3">
      <c r="A44" s="27"/>
      <c r="B44" s="27"/>
      <c r="C44" s="27"/>
      <c r="D44" s="27"/>
      <c r="E44" s="27"/>
      <c r="F44" s="27"/>
      <c r="G44" s="27"/>
      <c r="H44" s="27"/>
      <c r="I44" s="27"/>
      <c r="J44" s="27"/>
      <c r="K44" s="27"/>
      <c r="L44" s="27"/>
    </row>
    <row r="45" spans="1:12" ht="15" customHeight="1" x14ac:dyDescent="0.3">
      <c r="B45" s="27"/>
      <c r="C45" s="27"/>
      <c r="D45" s="27"/>
      <c r="E45" s="27"/>
      <c r="F45" s="27"/>
      <c r="G45" s="27"/>
      <c r="H45" s="27"/>
      <c r="I45" s="27"/>
      <c r="J45" s="27"/>
      <c r="K45" s="27"/>
      <c r="L45" s="27"/>
    </row>
    <row r="46" spans="1:12" ht="15" customHeight="1" x14ac:dyDescent="0.3">
      <c r="A46" s="27"/>
      <c r="B46" s="27"/>
      <c r="C46" s="27"/>
      <c r="D46" s="27"/>
      <c r="E46" s="27"/>
      <c r="F46" s="27"/>
      <c r="G46" s="27"/>
      <c r="H46" s="27"/>
      <c r="I46" s="27"/>
      <c r="J46" s="27"/>
      <c r="K46" s="27"/>
      <c r="L46" s="27"/>
    </row>
    <row r="47" spans="1:12" ht="15" customHeight="1" x14ac:dyDescent="0.3">
      <c r="B47" s="27"/>
      <c r="C47" s="27"/>
      <c r="D47" s="27"/>
      <c r="E47" s="27"/>
      <c r="F47" s="27"/>
      <c r="G47" s="27"/>
      <c r="H47" s="27"/>
      <c r="I47" s="27"/>
      <c r="J47" s="27"/>
      <c r="K47" s="27"/>
      <c r="L47" s="27"/>
    </row>
    <row r="48" spans="1:12" ht="15" customHeight="1" x14ac:dyDescent="0.3">
      <c r="A48" s="27"/>
      <c r="B48" s="27"/>
      <c r="C48" s="27"/>
      <c r="D48" s="27"/>
      <c r="E48" s="27"/>
      <c r="F48" s="27"/>
      <c r="G48" s="27"/>
      <c r="H48" s="27"/>
      <c r="I48" s="27"/>
      <c r="J48" s="27"/>
      <c r="K48" s="27"/>
      <c r="L48" s="27"/>
    </row>
    <row r="49" spans="1:12" ht="15" customHeight="1" x14ac:dyDescent="0.3">
      <c r="B49" s="27"/>
      <c r="C49" s="27"/>
      <c r="D49" s="27"/>
      <c r="E49" s="27"/>
      <c r="F49" s="27"/>
      <c r="G49" s="27"/>
      <c r="H49" s="27"/>
      <c r="I49" s="27"/>
      <c r="J49" s="27"/>
      <c r="K49" s="27"/>
      <c r="L49" s="27"/>
    </row>
    <row r="50" spans="1:12" ht="15" customHeight="1" x14ac:dyDescent="0.3">
      <c r="A50" s="27"/>
      <c r="B50" s="27"/>
      <c r="C50" s="27"/>
      <c r="D50" s="27"/>
      <c r="E50" s="27"/>
      <c r="F50" s="27"/>
      <c r="G50" s="27"/>
      <c r="H50" s="27"/>
      <c r="I50" s="27"/>
      <c r="J50" s="27"/>
      <c r="K50" s="27"/>
      <c r="L50" s="27"/>
    </row>
    <row r="51" spans="1:12" s="36" customFormat="1" ht="15" customHeight="1" x14ac:dyDescent="0.3">
      <c r="A51" s="28"/>
      <c r="B51" s="27"/>
      <c r="C51" s="27"/>
      <c r="D51" s="27"/>
      <c r="E51" s="27"/>
      <c r="F51" s="27"/>
      <c r="G51" s="27"/>
      <c r="H51" s="27"/>
      <c r="I51" s="27"/>
      <c r="J51" s="27"/>
      <c r="K51" s="27"/>
      <c r="L51" s="27"/>
    </row>
    <row r="52" spans="1:12" ht="15" customHeight="1" x14ac:dyDescent="0.3">
      <c r="A52" s="27"/>
      <c r="B52" s="27"/>
      <c r="C52" s="27"/>
      <c r="D52" s="27"/>
      <c r="E52" s="27"/>
      <c r="F52" s="27"/>
      <c r="G52" s="27"/>
      <c r="H52" s="27"/>
      <c r="I52" s="27"/>
      <c r="J52" s="27"/>
      <c r="K52" s="27"/>
      <c r="L52" s="27"/>
    </row>
    <row r="53" spans="1:12" s="36" customFormat="1" ht="15" customHeight="1" x14ac:dyDescent="0.3">
      <c r="A53" s="28"/>
      <c r="B53" s="27"/>
      <c r="C53" s="27"/>
      <c r="D53" s="27"/>
      <c r="E53" s="27"/>
      <c r="F53" s="27"/>
      <c r="G53" s="27"/>
      <c r="H53" s="27"/>
      <c r="I53" s="27"/>
      <c r="J53" s="27"/>
      <c r="K53" s="27"/>
      <c r="L53" s="27"/>
    </row>
    <row r="54" spans="1:12" s="36" customFormat="1" ht="15" customHeight="1" x14ac:dyDescent="0.3">
      <c r="A54" s="27"/>
      <c r="B54" s="27"/>
      <c r="C54" s="27"/>
      <c r="D54" s="27"/>
      <c r="E54" s="27"/>
      <c r="F54" s="27"/>
      <c r="G54" s="27"/>
      <c r="H54" s="27"/>
      <c r="I54" s="27"/>
      <c r="J54" s="27"/>
      <c r="K54" s="27"/>
      <c r="L54" s="27"/>
    </row>
    <row r="55" spans="1:12" s="36" customFormat="1" ht="15" customHeight="1" x14ac:dyDescent="0.3">
      <c r="A55" s="28"/>
      <c r="B55" s="27"/>
      <c r="C55" s="27"/>
      <c r="D55" s="27"/>
      <c r="E55" s="27"/>
      <c r="F55" s="27"/>
      <c r="G55" s="27"/>
      <c r="H55" s="27"/>
      <c r="I55" s="27"/>
      <c r="J55" s="27"/>
      <c r="K55" s="27"/>
      <c r="L55" s="27"/>
    </row>
    <row r="56" spans="1:12" s="36" customFormat="1" ht="15" customHeight="1" x14ac:dyDescent="0.3">
      <c r="A56" s="27"/>
      <c r="B56" s="27"/>
      <c r="C56" s="27"/>
      <c r="D56" s="27"/>
      <c r="E56" s="27"/>
      <c r="F56" s="27"/>
      <c r="G56" s="27"/>
      <c r="H56" s="27"/>
      <c r="I56" s="27"/>
      <c r="J56" s="27"/>
      <c r="K56" s="27"/>
      <c r="L56" s="27"/>
    </row>
    <row r="57" spans="1:12" s="36" customFormat="1" ht="15" customHeight="1" x14ac:dyDescent="0.3">
      <c r="A57" s="28"/>
      <c r="B57" s="27"/>
      <c r="C57" s="27"/>
      <c r="D57" s="27"/>
      <c r="E57" s="27"/>
      <c r="F57" s="27"/>
      <c r="G57" s="27"/>
      <c r="H57" s="27"/>
      <c r="I57" s="27"/>
      <c r="J57" s="27"/>
      <c r="K57" s="27"/>
      <c r="L57" s="27"/>
    </row>
    <row r="58" spans="1:12" s="36" customFormat="1" ht="15" customHeight="1" x14ac:dyDescent="0.3">
      <c r="A58" s="27"/>
      <c r="B58" s="27"/>
      <c r="C58" s="27"/>
      <c r="D58" s="27"/>
      <c r="E58" s="27"/>
      <c r="F58" s="27"/>
      <c r="G58" s="27"/>
      <c r="H58" s="27"/>
      <c r="I58" s="27"/>
      <c r="J58" s="27"/>
      <c r="K58" s="27"/>
      <c r="L58" s="27"/>
    </row>
    <row r="59" spans="1:12" s="36" customFormat="1" ht="15" customHeight="1" x14ac:dyDescent="0.3">
      <c r="A59" s="28"/>
      <c r="B59" s="27"/>
      <c r="C59" s="27"/>
      <c r="D59" s="27"/>
      <c r="E59" s="27"/>
      <c r="F59" s="27"/>
      <c r="G59" s="27"/>
      <c r="H59" s="27"/>
      <c r="I59" s="27"/>
      <c r="J59" s="27"/>
      <c r="K59" s="27"/>
      <c r="L59" s="27"/>
    </row>
    <row r="60" spans="1:12" s="36" customFormat="1" ht="15" customHeight="1" x14ac:dyDescent="0.3">
      <c r="A60" s="27"/>
      <c r="B60" s="27"/>
      <c r="C60" s="27"/>
      <c r="D60" s="27"/>
      <c r="E60" s="27"/>
      <c r="F60" s="27"/>
      <c r="G60" s="27"/>
      <c r="H60" s="27"/>
      <c r="I60" s="27"/>
      <c r="J60" s="27"/>
      <c r="K60" s="27"/>
      <c r="L60" s="27"/>
    </row>
    <row r="61" spans="1:12" ht="15" customHeight="1" x14ac:dyDescent="0.3">
      <c r="B61" s="27"/>
      <c r="C61" s="27"/>
      <c r="D61" s="27"/>
      <c r="E61" s="27"/>
      <c r="F61" s="27"/>
      <c r="G61" s="27"/>
      <c r="H61" s="27"/>
      <c r="I61" s="27"/>
      <c r="J61" s="27"/>
      <c r="K61" s="27"/>
      <c r="L61" s="27"/>
    </row>
    <row r="62" spans="1:12" ht="15" customHeight="1" x14ac:dyDescent="0.3">
      <c r="A62" s="27"/>
      <c r="B62" s="27"/>
      <c r="C62" s="27"/>
      <c r="D62" s="27"/>
      <c r="E62" s="27"/>
      <c r="F62" s="27"/>
      <c r="G62" s="27"/>
      <c r="H62" s="27"/>
      <c r="I62" s="27"/>
      <c r="J62" s="27"/>
      <c r="K62" s="27"/>
      <c r="L62" s="27"/>
    </row>
    <row r="63" spans="1:12" ht="15" customHeight="1" x14ac:dyDescent="0.3">
      <c r="B63" s="27"/>
      <c r="C63" s="27"/>
      <c r="D63" s="27"/>
      <c r="E63" s="27"/>
      <c r="F63" s="27"/>
      <c r="G63" s="27"/>
      <c r="H63" s="27"/>
      <c r="I63" s="27"/>
      <c r="J63" s="27"/>
      <c r="K63" s="27"/>
      <c r="L63" s="27"/>
    </row>
    <row r="64" spans="1:12" ht="15" customHeight="1" x14ac:dyDescent="0.3">
      <c r="A64" s="27"/>
      <c r="B64" s="27"/>
      <c r="C64" s="27"/>
      <c r="D64" s="27"/>
      <c r="E64" s="27"/>
      <c r="F64" s="27"/>
      <c r="G64" s="27"/>
      <c r="H64" s="27"/>
      <c r="I64" s="27"/>
      <c r="J64" s="27"/>
      <c r="K64" s="27"/>
      <c r="L64" s="27"/>
    </row>
    <row r="65" spans="1:12" ht="15" customHeight="1" x14ac:dyDescent="0.3">
      <c r="B65" s="27"/>
      <c r="C65" s="27"/>
      <c r="D65" s="27"/>
      <c r="E65" s="27"/>
      <c r="F65" s="27"/>
      <c r="G65" s="27"/>
      <c r="H65" s="27"/>
      <c r="I65" s="27"/>
      <c r="J65" s="27"/>
      <c r="K65" s="27"/>
      <c r="L65" s="27"/>
    </row>
    <row r="66" spans="1:12" ht="15" customHeight="1" x14ac:dyDescent="0.3">
      <c r="A66" s="27"/>
      <c r="B66" s="27"/>
      <c r="C66" s="27"/>
      <c r="D66" s="27"/>
      <c r="E66" s="27"/>
      <c r="F66" s="27"/>
      <c r="G66" s="27"/>
      <c r="H66" s="27"/>
      <c r="I66" s="27"/>
      <c r="J66" s="27"/>
      <c r="K66" s="27"/>
      <c r="L66" s="27"/>
    </row>
    <row r="67" spans="1:12" ht="15" customHeight="1" x14ac:dyDescent="0.3">
      <c r="B67" s="27"/>
      <c r="C67" s="27"/>
      <c r="D67" s="27"/>
      <c r="E67" s="27"/>
      <c r="F67" s="27"/>
      <c r="G67" s="27"/>
      <c r="H67" s="27"/>
      <c r="I67" s="27"/>
      <c r="J67" s="27"/>
      <c r="K67" s="27"/>
      <c r="L67" s="27"/>
    </row>
    <row r="68" spans="1:12" ht="15" customHeight="1" x14ac:dyDescent="0.3">
      <c r="A68" s="27"/>
      <c r="B68" s="27"/>
      <c r="C68" s="27"/>
      <c r="D68" s="27"/>
      <c r="E68" s="27"/>
      <c r="F68" s="27"/>
      <c r="G68" s="27"/>
      <c r="H68" s="27"/>
      <c r="I68" s="27"/>
      <c r="J68" s="27"/>
      <c r="K68" s="27"/>
      <c r="L68" s="27"/>
    </row>
    <row r="69" spans="1:12" ht="15" customHeight="1" x14ac:dyDescent="0.3">
      <c r="B69" s="27"/>
      <c r="C69" s="27"/>
      <c r="D69" s="27"/>
      <c r="E69" s="27"/>
      <c r="F69" s="27"/>
      <c r="G69" s="27"/>
      <c r="H69" s="27"/>
      <c r="I69" s="27"/>
      <c r="J69" s="27"/>
      <c r="K69" s="27"/>
      <c r="L69" s="27"/>
    </row>
    <row r="70" spans="1:12" ht="15" customHeight="1" x14ac:dyDescent="0.3">
      <c r="A70" s="27"/>
      <c r="B70" s="27"/>
      <c r="C70" s="27"/>
      <c r="D70" s="27"/>
      <c r="E70" s="27"/>
      <c r="F70" s="27"/>
      <c r="G70" s="27"/>
      <c r="H70" s="27"/>
      <c r="I70" s="27"/>
      <c r="J70" s="27"/>
      <c r="K70" s="27"/>
      <c r="L70" s="27"/>
    </row>
    <row r="71" spans="1:12" ht="15" customHeight="1" x14ac:dyDescent="0.3">
      <c r="B71" s="27"/>
      <c r="C71" s="27"/>
      <c r="D71" s="27"/>
      <c r="E71" s="27"/>
      <c r="F71" s="27"/>
      <c r="G71" s="27"/>
      <c r="H71" s="27"/>
      <c r="I71" s="27"/>
      <c r="J71" s="27"/>
      <c r="K71" s="27"/>
      <c r="L71" s="27"/>
    </row>
    <row r="72" spans="1:12" ht="15" customHeight="1" x14ac:dyDescent="0.3">
      <c r="A72" s="27"/>
      <c r="B72" s="27"/>
      <c r="C72" s="27"/>
      <c r="D72" s="27"/>
      <c r="E72" s="27"/>
      <c r="F72" s="27"/>
      <c r="G72" s="27"/>
      <c r="H72" s="27"/>
      <c r="I72" s="27"/>
      <c r="J72" s="27"/>
      <c r="K72" s="27"/>
      <c r="L72" s="27"/>
    </row>
    <row r="73" spans="1:12" ht="15" customHeight="1" x14ac:dyDescent="0.3">
      <c r="B73" s="27"/>
      <c r="C73" s="27"/>
      <c r="D73" s="27"/>
      <c r="E73" s="27"/>
      <c r="F73" s="27"/>
      <c r="G73" s="27"/>
      <c r="H73" s="27"/>
      <c r="I73" s="27"/>
      <c r="J73" s="27"/>
      <c r="K73" s="27"/>
      <c r="L73" s="27"/>
    </row>
    <row r="74" spans="1:12" ht="15" customHeight="1" x14ac:dyDescent="0.3">
      <c r="A74" s="27"/>
      <c r="B74" s="27"/>
      <c r="C74" s="27"/>
      <c r="D74" s="27"/>
      <c r="E74" s="27"/>
      <c r="F74" s="27"/>
      <c r="G74" s="27"/>
      <c r="H74" s="27"/>
      <c r="I74" s="27"/>
      <c r="J74" s="27"/>
      <c r="K74" s="27"/>
      <c r="L74" s="27"/>
    </row>
    <row r="75" spans="1:12" ht="15" customHeight="1" x14ac:dyDescent="0.3">
      <c r="B75" s="27"/>
      <c r="C75" s="27"/>
      <c r="D75" s="27"/>
      <c r="E75" s="27"/>
      <c r="F75" s="27"/>
      <c r="G75" s="27"/>
      <c r="H75" s="27"/>
      <c r="I75" s="27"/>
      <c r="J75" s="27"/>
      <c r="K75" s="27"/>
      <c r="L75" s="27"/>
    </row>
    <row r="76" spans="1:12" ht="15" customHeight="1" x14ac:dyDescent="0.3">
      <c r="A76" s="27"/>
      <c r="B76" s="27"/>
      <c r="C76" s="27"/>
      <c r="D76" s="27"/>
      <c r="E76" s="27"/>
      <c r="F76" s="27"/>
      <c r="G76" s="27"/>
      <c r="H76" s="27"/>
      <c r="I76" s="27"/>
      <c r="J76" s="27"/>
      <c r="K76" s="27"/>
      <c r="L76" s="27"/>
    </row>
    <row r="77" spans="1:12" ht="15" customHeight="1" x14ac:dyDescent="0.3">
      <c r="B77" s="27"/>
      <c r="C77" s="27"/>
      <c r="D77" s="27"/>
      <c r="E77" s="27"/>
      <c r="F77" s="27"/>
      <c r="G77" s="27"/>
      <c r="H77" s="27"/>
      <c r="I77" s="27"/>
      <c r="J77" s="27"/>
      <c r="K77" s="27"/>
      <c r="L77" s="27"/>
    </row>
    <row r="78" spans="1:12" ht="15" customHeight="1" x14ac:dyDescent="0.3">
      <c r="A78" s="27"/>
      <c r="B78" s="27"/>
      <c r="C78" s="27"/>
      <c r="D78" s="27"/>
      <c r="E78" s="27"/>
      <c r="F78" s="27"/>
      <c r="G78" s="27"/>
      <c r="H78" s="27"/>
      <c r="I78" s="27"/>
      <c r="J78" s="27"/>
      <c r="K78" s="27"/>
      <c r="L78" s="27"/>
    </row>
    <row r="79" spans="1:12" ht="15" customHeight="1" x14ac:dyDescent="0.3">
      <c r="B79" s="27"/>
      <c r="C79" s="27"/>
      <c r="D79" s="27"/>
      <c r="E79" s="27"/>
      <c r="F79" s="27"/>
      <c r="G79" s="27"/>
      <c r="H79" s="27"/>
      <c r="I79" s="27"/>
      <c r="J79" s="27"/>
      <c r="K79" s="27"/>
      <c r="L79" s="27"/>
    </row>
    <row r="80" spans="1:12" ht="15" customHeight="1" x14ac:dyDescent="0.3">
      <c r="A80" s="27"/>
      <c r="B80" s="27"/>
      <c r="C80" s="27"/>
      <c r="D80" s="27"/>
      <c r="E80" s="27"/>
      <c r="F80" s="27"/>
      <c r="G80" s="27"/>
      <c r="H80" s="27"/>
      <c r="I80" s="27"/>
      <c r="J80" s="27"/>
      <c r="K80" s="27"/>
      <c r="L80" s="27"/>
    </row>
    <row r="81" spans="1:12" ht="15" customHeight="1" x14ac:dyDescent="0.3">
      <c r="B81" s="27"/>
      <c r="C81" s="27"/>
      <c r="D81" s="27"/>
      <c r="E81" s="27"/>
      <c r="F81" s="27"/>
      <c r="G81" s="27"/>
      <c r="H81" s="27"/>
      <c r="I81" s="27"/>
      <c r="J81" s="27"/>
      <c r="K81" s="27"/>
      <c r="L81" s="27"/>
    </row>
    <row r="82" spans="1:12" ht="15" customHeight="1" x14ac:dyDescent="0.3">
      <c r="A82" s="27"/>
      <c r="B82" s="27"/>
      <c r="C82" s="27"/>
      <c r="D82" s="27"/>
      <c r="E82" s="27"/>
      <c r="F82" s="27"/>
      <c r="G82" s="27"/>
      <c r="H82" s="27"/>
      <c r="I82" s="27"/>
      <c r="J82" s="27"/>
      <c r="K82" s="27"/>
      <c r="L82" s="27"/>
    </row>
    <row r="83" spans="1:12" ht="15" customHeight="1" x14ac:dyDescent="0.3">
      <c r="B83" s="27"/>
      <c r="C83" s="27"/>
      <c r="D83" s="27"/>
      <c r="E83" s="27"/>
      <c r="F83" s="27"/>
      <c r="G83" s="27"/>
      <c r="H83" s="27"/>
      <c r="I83" s="27"/>
      <c r="J83" s="27"/>
      <c r="K83" s="27"/>
      <c r="L83" s="27"/>
    </row>
    <row r="84" spans="1:12" ht="15" customHeight="1" x14ac:dyDescent="0.3">
      <c r="A84" s="27"/>
      <c r="B84" s="27"/>
      <c r="C84" s="27"/>
      <c r="D84" s="27"/>
      <c r="E84" s="27"/>
      <c r="F84" s="27"/>
      <c r="G84" s="27"/>
      <c r="H84" s="27"/>
      <c r="I84" s="27"/>
      <c r="J84" s="27"/>
      <c r="K84" s="27"/>
      <c r="L84" s="27"/>
    </row>
    <row r="85" spans="1:12" ht="15" customHeight="1" x14ac:dyDescent="0.3">
      <c r="B85" s="27"/>
      <c r="C85" s="27"/>
      <c r="D85" s="27"/>
      <c r="E85" s="27"/>
      <c r="F85" s="27"/>
      <c r="G85" s="27"/>
      <c r="H85" s="27"/>
      <c r="I85" s="27"/>
      <c r="J85" s="27"/>
      <c r="K85" s="27"/>
      <c r="L85" s="27"/>
    </row>
    <row r="86" spans="1:12" ht="15" customHeight="1" x14ac:dyDescent="0.3">
      <c r="A86" s="27"/>
      <c r="B86" s="27"/>
      <c r="C86" s="27"/>
      <c r="D86" s="27"/>
      <c r="E86" s="27"/>
      <c r="F86" s="27"/>
      <c r="G86" s="27"/>
      <c r="H86" s="27"/>
      <c r="I86" s="27"/>
      <c r="J86" s="27"/>
      <c r="K86" s="27"/>
      <c r="L86" s="27"/>
    </row>
    <row r="87" spans="1:12" ht="15" customHeight="1" x14ac:dyDescent="0.3">
      <c r="B87" s="27"/>
      <c r="C87" s="27"/>
      <c r="D87" s="27"/>
      <c r="E87" s="27"/>
      <c r="F87" s="27"/>
      <c r="G87" s="27"/>
      <c r="H87" s="27"/>
      <c r="I87" s="27"/>
      <c r="J87" s="27"/>
      <c r="K87" s="27"/>
      <c r="L87" s="27"/>
    </row>
    <row r="88" spans="1:12" ht="15" customHeight="1" x14ac:dyDescent="0.3">
      <c r="A88" s="27"/>
      <c r="B88" s="27"/>
      <c r="C88" s="27"/>
      <c r="D88" s="27"/>
      <c r="E88" s="27"/>
      <c r="F88" s="27"/>
      <c r="G88" s="27"/>
      <c r="H88" s="27"/>
      <c r="I88" s="27"/>
      <c r="J88" s="27"/>
      <c r="K88" s="27"/>
      <c r="L88" s="27"/>
    </row>
    <row r="89" spans="1:12" ht="15" customHeight="1" x14ac:dyDescent="0.3">
      <c r="B89" s="27"/>
      <c r="C89" s="27"/>
      <c r="D89" s="27"/>
      <c r="E89" s="27"/>
      <c r="F89" s="27"/>
      <c r="G89" s="27"/>
      <c r="H89" s="27"/>
      <c r="I89" s="27"/>
      <c r="J89" s="27"/>
      <c r="K89" s="27"/>
      <c r="L89" s="27"/>
    </row>
    <row r="90" spans="1:12" ht="15" customHeight="1" x14ac:dyDescent="0.3">
      <c r="A90" s="27"/>
      <c r="B90" s="27"/>
      <c r="C90" s="27"/>
      <c r="D90" s="27"/>
      <c r="E90" s="27"/>
      <c r="F90" s="27"/>
      <c r="G90" s="27"/>
      <c r="H90" s="27"/>
      <c r="I90" s="27"/>
      <c r="J90" s="27"/>
      <c r="K90" s="27"/>
      <c r="L90" s="27"/>
    </row>
    <row r="91" spans="1:12" ht="15" customHeight="1" x14ac:dyDescent="0.3">
      <c r="B91" s="27"/>
      <c r="C91" s="27"/>
      <c r="D91" s="27"/>
      <c r="E91" s="27"/>
      <c r="F91" s="27"/>
      <c r="G91" s="27"/>
      <c r="H91" s="27"/>
      <c r="I91" s="27"/>
      <c r="J91" s="27"/>
      <c r="K91" s="27"/>
      <c r="L91" s="27"/>
    </row>
    <row r="92" spans="1:12" ht="15" customHeight="1" x14ac:dyDescent="0.3">
      <c r="A92" s="27"/>
      <c r="B92" s="27"/>
      <c r="C92" s="27"/>
      <c r="D92" s="27"/>
      <c r="E92" s="27"/>
      <c r="F92" s="27"/>
      <c r="G92" s="27"/>
      <c r="H92" s="27"/>
      <c r="I92" s="27"/>
      <c r="J92" s="27"/>
      <c r="K92" s="27"/>
      <c r="L92" s="27"/>
    </row>
    <row r="93" spans="1:12" ht="15" customHeight="1" x14ac:dyDescent="0.3">
      <c r="B93" s="27"/>
      <c r="C93" s="27"/>
      <c r="D93" s="27"/>
      <c r="E93" s="27"/>
      <c r="F93" s="27"/>
      <c r="G93" s="27"/>
      <c r="H93" s="27"/>
      <c r="I93" s="27"/>
      <c r="J93" s="27"/>
      <c r="K93" s="27"/>
      <c r="L93" s="27"/>
    </row>
    <row r="94" spans="1:12" ht="15" customHeight="1" x14ac:dyDescent="0.3">
      <c r="A94" s="27"/>
      <c r="B94" s="27"/>
      <c r="C94" s="27"/>
      <c r="D94" s="27"/>
      <c r="E94" s="27"/>
      <c r="F94" s="27"/>
      <c r="G94" s="27"/>
      <c r="H94" s="27"/>
      <c r="I94" s="27"/>
      <c r="J94" s="27"/>
      <c r="K94" s="27"/>
      <c r="L94" s="27"/>
    </row>
    <row r="95" spans="1:12" ht="15" customHeight="1" x14ac:dyDescent="0.3">
      <c r="B95" s="27"/>
      <c r="C95" s="27"/>
      <c r="D95" s="27"/>
      <c r="E95" s="27"/>
      <c r="F95" s="27"/>
      <c r="G95" s="27"/>
      <c r="H95" s="27"/>
      <c r="I95" s="27"/>
      <c r="J95" s="27"/>
      <c r="K95" s="27"/>
      <c r="L95" s="27"/>
    </row>
    <row r="96" spans="1:12" ht="15" customHeight="1" x14ac:dyDescent="0.3">
      <c r="A96" s="27"/>
      <c r="B96" s="27"/>
      <c r="C96" s="27"/>
      <c r="D96" s="27"/>
      <c r="E96" s="27"/>
      <c r="F96" s="27"/>
      <c r="G96" s="27"/>
      <c r="H96" s="27"/>
      <c r="I96" s="27"/>
      <c r="J96" s="27"/>
      <c r="K96" s="27"/>
      <c r="L96" s="27"/>
    </row>
    <row r="97" spans="1:12" ht="15" customHeight="1" x14ac:dyDescent="0.3">
      <c r="B97" s="27"/>
      <c r="C97" s="27"/>
      <c r="D97" s="27"/>
      <c r="E97" s="27"/>
      <c r="F97" s="27"/>
      <c r="G97" s="27"/>
      <c r="H97" s="27"/>
      <c r="I97" s="27"/>
      <c r="J97" s="27"/>
      <c r="K97" s="27"/>
      <c r="L97" s="27"/>
    </row>
    <row r="98" spans="1:12" ht="15" customHeight="1" x14ac:dyDescent="0.3">
      <c r="A98" s="27"/>
      <c r="B98" s="27"/>
      <c r="C98" s="27"/>
      <c r="D98" s="27"/>
      <c r="E98" s="27"/>
      <c r="F98" s="27"/>
      <c r="G98" s="27"/>
      <c r="H98" s="27"/>
      <c r="I98" s="27"/>
      <c r="J98" s="27"/>
      <c r="K98" s="27"/>
      <c r="L98" s="27"/>
    </row>
    <row r="99" spans="1:12" ht="15" customHeight="1" x14ac:dyDescent="0.3">
      <c r="B99" s="27"/>
      <c r="C99" s="27"/>
      <c r="D99" s="27"/>
      <c r="E99" s="27"/>
      <c r="F99" s="27"/>
      <c r="G99" s="27"/>
      <c r="H99" s="27"/>
      <c r="I99" s="27"/>
      <c r="J99" s="27"/>
      <c r="K99" s="27"/>
      <c r="L99" s="27"/>
    </row>
    <row r="100" spans="1:12" ht="15" customHeight="1" x14ac:dyDescent="0.3">
      <c r="A100" s="27"/>
      <c r="B100" s="27"/>
      <c r="C100" s="27"/>
      <c r="D100" s="27"/>
      <c r="E100" s="27"/>
      <c r="F100" s="27"/>
      <c r="G100" s="27"/>
      <c r="H100" s="27"/>
      <c r="I100" s="27"/>
      <c r="J100" s="27"/>
      <c r="K100" s="27"/>
      <c r="L100" s="27"/>
    </row>
    <row r="101" spans="1:12" ht="15" customHeight="1" x14ac:dyDescent="0.3">
      <c r="B101" s="27"/>
      <c r="C101" s="27"/>
      <c r="D101" s="27"/>
      <c r="E101" s="27"/>
      <c r="F101" s="27"/>
      <c r="G101" s="27"/>
      <c r="H101" s="27"/>
      <c r="I101" s="27"/>
      <c r="J101" s="27"/>
      <c r="K101" s="27"/>
      <c r="L101" s="27"/>
    </row>
    <row r="102" spans="1:12" ht="15" customHeight="1" x14ac:dyDescent="0.3">
      <c r="A102" s="27"/>
      <c r="B102" s="27"/>
      <c r="C102" s="27"/>
      <c r="D102" s="27"/>
      <c r="E102" s="27"/>
      <c r="F102" s="27"/>
      <c r="G102" s="27"/>
      <c r="H102" s="27"/>
      <c r="I102" s="27"/>
      <c r="J102" s="27"/>
      <c r="K102" s="27"/>
      <c r="L102" s="27"/>
    </row>
    <row r="103" spans="1:12" ht="15" customHeight="1" x14ac:dyDescent="0.3">
      <c r="B103" s="27"/>
      <c r="C103" s="27"/>
      <c r="D103" s="27"/>
      <c r="E103" s="27"/>
      <c r="F103" s="27"/>
      <c r="G103" s="27"/>
      <c r="H103" s="27"/>
      <c r="I103" s="27"/>
      <c r="J103" s="27"/>
      <c r="K103" s="27"/>
      <c r="L103" s="27"/>
    </row>
    <row r="104" spans="1:12" ht="15" customHeight="1" x14ac:dyDescent="0.3">
      <c r="A104" s="27"/>
      <c r="B104" s="27"/>
      <c r="C104" s="27"/>
      <c r="D104" s="27"/>
      <c r="E104" s="27"/>
      <c r="F104" s="27"/>
      <c r="G104" s="27"/>
      <c r="H104" s="27"/>
      <c r="I104" s="27"/>
      <c r="J104" s="27"/>
      <c r="K104" s="27"/>
      <c r="L104" s="27"/>
    </row>
    <row r="105" spans="1:12" ht="15" customHeight="1" x14ac:dyDescent="0.3">
      <c r="B105" s="27"/>
      <c r="C105" s="27"/>
      <c r="D105" s="27"/>
      <c r="E105" s="27"/>
      <c r="F105" s="27"/>
      <c r="G105" s="27"/>
      <c r="H105" s="27"/>
      <c r="I105" s="27"/>
      <c r="J105" s="27"/>
      <c r="K105" s="27"/>
      <c r="L105" s="27"/>
    </row>
    <row r="106" spans="1:12" ht="15" customHeight="1" x14ac:dyDescent="0.3">
      <c r="A106" s="27"/>
      <c r="B106" s="27"/>
      <c r="C106" s="27"/>
      <c r="D106" s="27"/>
      <c r="E106" s="27"/>
      <c r="F106" s="27"/>
      <c r="G106" s="27"/>
      <c r="H106" s="27"/>
      <c r="I106" s="27"/>
      <c r="J106" s="27"/>
      <c r="K106" s="27"/>
      <c r="L106" s="27"/>
    </row>
    <row r="107" spans="1:12" ht="15" customHeight="1" x14ac:dyDescent="0.3">
      <c r="B107" s="27"/>
      <c r="C107" s="27"/>
      <c r="D107" s="27"/>
      <c r="E107" s="27"/>
      <c r="F107" s="27"/>
      <c r="G107" s="27"/>
      <c r="H107" s="27"/>
      <c r="I107" s="27"/>
      <c r="J107" s="27"/>
      <c r="K107" s="27"/>
      <c r="L107" s="27"/>
    </row>
    <row r="108" spans="1:12" ht="15" customHeight="1" x14ac:dyDescent="0.3">
      <c r="A108" s="27"/>
      <c r="B108" s="27"/>
      <c r="C108" s="27"/>
      <c r="D108" s="27"/>
      <c r="E108" s="27"/>
      <c r="F108" s="27"/>
      <c r="G108" s="27"/>
      <c r="H108" s="27"/>
      <c r="I108" s="27"/>
      <c r="J108" s="27"/>
      <c r="K108" s="27"/>
      <c r="L108" s="27"/>
    </row>
    <row r="109" spans="1:12" ht="15" customHeight="1" x14ac:dyDescent="0.3">
      <c r="B109" s="27"/>
      <c r="C109" s="27"/>
      <c r="D109" s="27"/>
      <c r="E109" s="27"/>
      <c r="F109" s="27"/>
      <c r="G109" s="27"/>
      <c r="H109" s="27"/>
      <c r="I109" s="27"/>
      <c r="J109" s="27"/>
      <c r="K109" s="27"/>
      <c r="L109" s="27"/>
    </row>
    <row r="110" spans="1:12" ht="15" customHeight="1" x14ac:dyDescent="0.3">
      <c r="A110" s="27"/>
      <c r="B110" s="27"/>
      <c r="C110" s="27"/>
      <c r="D110" s="27"/>
      <c r="E110" s="27"/>
      <c r="F110" s="27"/>
      <c r="G110" s="27"/>
      <c r="H110" s="27"/>
      <c r="I110" s="27"/>
      <c r="J110" s="27"/>
      <c r="K110" s="27"/>
      <c r="L110" s="27"/>
    </row>
    <row r="111" spans="1:12" ht="15" customHeight="1" x14ac:dyDescent="0.3">
      <c r="B111" s="27"/>
      <c r="C111" s="27"/>
      <c r="D111" s="27"/>
      <c r="E111" s="27"/>
      <c r="F111" s="27"/>
      <c r="G111" s="27"/>
      <c r="H111" s="27"/>
      <c r="I111" s="27"/>
      <c r="J111" s="27"/>
      <c r="K111" s="27"/>
      <c r="L111" s="27"/>
    </row>
    <row r="112" spans="1:12" ht="15" customHeight="1" x14ac:dyDescent="0.3">
      <c r="A112" s="27"/>
      <c r="B112" s="27"/>
      <c r="C112" s="27"/>
      <c r="D112" s="27"/>
      <c r="E112" s="27"/>
      <c r="F112" s="27"/>
      <c r="G112" s="27"/>
      <c r="H112" s="27"/>
      <c r="I112" s="27"/>
      <c r="J112" s="27"/>
      <c r="K112" s="27"/>
      <c r="L112" s="27"/>
    </row>
    <row r="113" spans="1:12" ht="15" customHeight="1" x14ac:dyDescent="0.3">
      <c r="B113" s="27"/>
      <c r="C113" s="27"/>
      <c r="D113" s="27"/>
      <c r="E113" s="27"/>
      <c r="F113" s="27"/>
      <c r="G113" s="27"/>
      <c r="H113" s="27"/>
      <c r="I113" s="27"/>
      <c r="J113" s="27"/>
      <c r="K113" s="27"/>
      <c r="L113" s="27"/>
    </row>
    <row r="114" spans="1:12" ht="15" customHeight="1" x14ac:dyDescent="0.3">
      <c r="A114" s="27"/>
      <c r="B114" s="27"/>
      <c r="C114" s="27"/>
      <c r="D114" s="27"/>
      <c r="E114" s="27"/>
      <c r="F114" s="27"/>
      <c r="G114" s="27"/>
      <c r="H114" s="27"/>
      <c r="I114" s="27"/>
      <c r="J114" s="27"/>
      <c r="K114" s="27"/>
      <c r="L114" s="27"/>
    </row>
    <row r="115" spans="1:12" ht="15" customHeight="1" x14ac:dyDescent="0.3">
      <c r="B115" s="27"/>
      <c r="C115" s="27"/>
      <c r="D115" s="27"/>
      <c r="E115" s="27"/>
      <c r="F115" s="27"/>
      <c r="G115" s="27"/>
      <c r="H115" s="27"/>
      <c r="I115" s="27"/>
      <c r="J115" s="27"/>
      <c r="K115" s="27"/>
      <c r="L115" s="27"/>
    </row>
    <row r="116" spans="1:12" ht="15" customHeight="1" x14ac:dyDescent="0.3">
      <c r="A116" s="27"/>
      <c r="B116" s="27"/>
      <c r="C116" s="27"/>
      <c r="D116" s="27"/>
      <c r="E116" s="27"/>
      <c r="F116" s="27"/>
      <c r="G116" s="27"/>
      <c r="H116" s="27"/>
      <c r="I116" s="27"/>
      <c r="J116" s="27"/>
      <c r="K116" s="27"/>
      <c r="L116" s="27"/>
    </row>
    <row r="117" spans="1:12" ht="15" customHeight="1" x14ac:dyDescent="0.3">
      <c r="B117" s="27"/>
      <c r="C117" s="27"/>
      <c r="D117" s="27"/>
      <c r="E117" s="27"/>
      <c r="F117" s="27"/>
      <c r="G117" s="27"/>
      <c r="H117" s="27"/>
      <c r="I117" s="27"/>
      <c r="J117" s="27"/>
      <c r="K117" s="27"/>
      <c r="L117" s="27"/>
    </row>
    <row r="118" spans="1:12" ht="15" customHeight="1" x14ac:dyDescent="0.3">
      <c r="A118" s="27"/>
      <c r="B118" s="27"/>
      <c r="C118" s="27"/>
      <c r="D118" s="27"/>
      <c r="E118" s="27"/>
      <c r="F118" s="27"/>
      <c r="G118" s="27"/>
      <c r="H118" s="27"/>
      <c r="I118" s="27"/>
      <c r="J118" s="27"/>
      <c r="K118" s="27"/>
      <c r="L118" s="27"/>
    </row>
    <row r="119" spans="1:12" ht="15" customHeight="1" x14ac:dyDescent="0.3">
      <c r="B119" s="27"/>
      <c r="C119" s="27"/>
      <c r="D119" s="27"/>
      <c r="E119" s="27"/>
      <c r="F119" s="27"/>
      <c r="G119" s="27"/>
      <c r="H119" s="27"/>
      <c r="I119" s="27"/>
      <c r="J119" s="27"/>
      <c r="K119" s="27"/>
      <c r="L119" s="27"/>
    </row>
    <row r="120" spans="1:12" ht="15" customHeight="1" x14ac:dyDescent="0.3">
      <c r="A120" s="27"/>
      <c r="B120" s="27"/>
      <c r="C120" s="27"/>
      <c r="D120" s="27"/>
      <c r="E120" s="27"/>
      <c r="F120" s="27"/>
      <c r="G120" s="27"/>
      <c r="H120" s="27"/>
      <c r="I120" s="27"/>
      <c r="J120" s="27"/>
      <c r="K120" s="27"/>
      <c r="L120" s="27"/>
    </row>
    <row r="121" spans="1:12" ht="15" customHeight="1" x14ac:dyDescent="0.3">
      <c r="B121" s="27"/>
      <c r="C121" s="27"/>
      <c r="D121" s="27"/>
      <c r="E121" s="27"/>
      <c r="F121" s="27"/>
      <c r="G121" s="27"/>
      <c r="H121" s="27"/>
      <c r="I121" s="27"/>
      <c r="J121" s="27"/>
      <c r="K121" s="27"/>
      <c r="L121" s="27"/>
    </row>
    <row r="122" spans="1:12" ht="15" customHeight="1" x14ac:dyDescent="0.3">
      <c r="A122" s="27"/>
      <c r="B122" s="27"/>
      <c r="C122" s="27"/>
      <c r="D122" s="27"/>
      <c r="E122" s="27"/>
      <c r="F122" s="27"/>
      <c r="G122" s="27"/>
      <c r="H122" s="27"/>
      <c r="I122" s="27"/>
      <c r="J122" s="27"/>
      <c r="K122" s="27"/>
      <c r="L122" s="27"/>
    </row>
    <row r="123" spans="1:12" ht="15" customHeight="1" x14ac:dyDescent="0.3">
      <c r="B123" s="27"/>
      <c r="C123" s="27"/>
      <c r="D123" s="27"/>
      <c r="E123" s="27"/>
      <c r="F123" s="27"/>
      <c r="G123" s="27"/>
      <c r="H123" s="27"/>
      <c r="I123" s="27"/>
      <c r="J123" s="27"/>
      <c r="K123" s="27"/>
      <c r="L123" s="27"/>
    </row>
    <row r="124" spans="1:12" ht="15" customHeight="1" x14ac:dyDescent="0.3">
      <c r="A124" s="27"/>
      <c r="B124" s="27"/>
      <c r="C124" s="27"/>
      <c r="D124" s="27"/>
      <c r="E124" s="27"/>
      <c r="F124" s="27"/>
      <c r="G124" s="27"/>
      <c r="H124" s="27"/>
      <c r="I124" s="27"/>
      <c r="J124" s="27"/>
      <c r="K124" s="27"/>
      <c r="L124" s="27"/>
    </row>
    <row r="125" spans="1:12" ht="15" customHeight="1" x14ac:dyDescent="0.3">
      <c r="B125" s="27"/>
      <c r="C125" s="27"/>
      <c r="D125" s="27"/>
      <c r="E125" s="27"/>
      <c r="F125" s="27"/>
      <c r="G125" s="27"/>
      <c r="H125" s="27"/>
      <c r="I125" s="27"/>
      <c r="J125" s="27"/>
      <c r="K125" s="27"/>
      <c r="L125" s="27"/>
    </row>
    <row r="126" spans="1:12" ht="15" customHeight="1" x14ac:dyDescent="0.3">
      <c r="A126" s="27"/>
      <c r="B126" s="27"/>
      <c r="C126" s="27"/>
      <c r="D126" s="27"/>
      <c r="E126" s="27"/>
      <c r="F126" s="27"/>
      <c r="G126" s="27"/>
      <c r="H126" s="27"/>
      <c r="I126" s="27"/>
      <c r="J126" s="27"/>
      <c r="K126" s="27"/>
      <c r="L126" s="27"/>
    </row>
    <row r="127" spans="1:12" ht="15" customHeight="1" x14ac:dyDescent="0.3">
      <c r="B127" s="27"/>
      <c r="C127" s="27"/>
      <c r="D127" s="27"/>
      <c r="E127" s="27"/>
      <c r="F127" s="27"/>
      <c r="G127" s="27"/>
      <c r="H127" s="27"/>
      <c r="I127" s="27"/>
      <c r="J127" s="27"/>
      <c r="K127" s="27"/>
      <c r="L127" s="27"/>
    </row>
    <row r="128" spans="1:12" ht="15" customHeight="1" x14ac:dyDescent="0.3">
      <c r="A128" s="27"/>
      <c r="B128" s="27"/>
      <c r="C128" s="27"/>
      <c r="D128" s="27"/>
      <c r="E128" s="27"/>
      <c r="F128" s="27"/>
      <c r="G128" s="27"/>
      <c r="H128" s="27"/>
      <c r="I128" s="27"/>
      <c r="J128" s="27"/>
      <c r="K128" s="27"/>
      <c r="L128" s="27"/>
    </row>
    <row r="129" spans="1:12" ht="15" customHeight="1" x14ac:dyDescent="0.3">
      <c r="B129" s="27"/>
      <c r="C129" s="27"/>
      <c r="D129" s="27"/>
      <c r="E129" s="27"/>
      <c r="F129" s="27"/>
      <c r="G129" s="27"/>
      <c r="H129" s="27"/>
      <c r="I129" s="27"/>
      <c r="J129" s="27"/>
      <c r="K129" s="27"/>
      <c r="L129" s="27"/>
    </row>
    <row r="130" spans="1:12" ht="15" customHeight="1" x14ac:dyDescent="0.3">
      <c r="A130" s="27"/>
      <c r="B130" s="27"/>
      <c r="C130" s="27"/>
      <c r="D130" s="27"/>
      <c r="E130" s="27"/>
      <c r="F130" s="27"/>
      <c r="G130" s="27"/>
      <c r="H130" s="27"/>
      <c r="I130" s="27"/>
      <c r="J130" s="27"/>
      <c r="K130" s="27"/>
      <c r="L130" s="27"/>
    </row>
    <row r="131" spans="1:12" ht="15" customHeight="1" x14ac:dyDescent="0.3">
      <c r="B131" s="27"/>
      <c r="C131" s="27"/>
      <c r="D131" s="27"/>
      <c r="E131" s="27"/>
      <c r="F131" s="27"/>
      <c r="G131" s="27"/>
      <c r="H131" s="27"/>
      <c r="I131" s="27"/>
      <c r="J131" s="27"/>
      <c r="K131" s="27"/>
      <c r="L131" s="27"/>
    </row>
    <row r="132" spans="1:12" ht="15" customHeight="1" x14ac:dyDescent="0.3">
      <c r="A132" s="27"/>
      <c r="B132" s="27"/>
      <c r="C132" s="27"/>
      <c r="D132" s="27"/>
      <c r="E132" s="27"/>
      <c r="F132" s="27"/>
      <c r="G132" s="27"/>
      <c r="H132" s="27"/>
      <c r="I132" s="27"/>
      <c r="J132" s="27"/>
      <c r="K132" s="27"/>
      <c r="L132" s="27"/>
    </row>
    <row r="133" spans="1:12" ht="15" customHeight="1" x14ac:dyDescent="0.3">
      <c r="B133" s="27"/>
      <c r="C133" s="27"/>
      <c r="D133" s="27"/>
      <c r="E133" s="27"/>
      <c r="F133" s="27"/>
      <c r="G133" s="27"/>
      <c r="H133" s="27"/>
      <c r="I133" s="27"/>
      <c r="J133" s="27"/>
      <c r="K133" s="27"/>
      <c r="L133" s="27"/>
    </row>
    <row r="134" spans="1:12" ht="15" customHeight="1" x14ac:dyDescent="0.3">
      <c r="A134" s="27"/>
      <c r="B134" s="27"/>
      <c r="C134" s="27"/>
      <c r="D134" s="27"/>
      <c r="E134" s="27"/>
      <c r="F134" s="27"/>
      <c r="G134" s="27"/>
      <c r="H134" s="27"/>
      <c r="I134" s="27"/>
      <c r="J134" s="27"/>
      <c r="K134" s="27"/>
      <c r="L134" s="27"/>
    </row>
    <row r="135" spans="1:12" ht="15" customHeight="1" x14ac:dyDescent="0.3">
      <c r="B135" s="27"/>
      <c r="C135" s="27"/>
      <c r="D135" s="27"/>
      <c r="E135" s="27"/>
      <c r="F135" s="27"/>
      <c r="G135" s="27"/>
      <c r="H135" s="27"/>
      <c r="I135" s="27"/>
      <c r="J135" s="27"/>
      <c r="K135" s="27"/>
      <c r="L135" s="27"/>
    </row>
    <row r="136" spans="1:12" ht="15" customHeight="1" x14ac:dyDescent="0.3">
      <c r="A136" s="27"/>
      <c r="B136" s="27"/>
      <c r="C136" s="27"/>
      <c r="D136" s="27"/>
      <c r="E136" s="27"/>
      <c r="F136" s="27"/>
      <c r="G136" s="27"/>
      <c r="H136" s="27"/>
      <c r="I136" s="27"/>
      <c r="J136" s="27"/>
      <c r="K136" s="27"/>
      <c r="L136" s="27"/>
    </row>
    <row r="137" spans="1:12" ht="15" customHeight="1" x14ac:dyDescent="0.3">
      <c r="B137" s="27"/>
      <c r="C137" s="27"/>
      <c r="D137" s="27"/>
      <c r="E137" s="27"/>
      <c r="F137" s="27"/>
      <c r="G137" s="27"/>
      <c r="H137" s="27"/>
      <c r="I137" s="27"/>
      <c r="J137" s="27"/>
      <c r="K137" s="27"/>
      <c r="L137" s="27"/>
    </row>
    <row r="138" spans="1:12" ht="15" customHeight="1" x14ac:dyDescent="0.3">
      <c r="A138" s="27"/>
      <c r="B138" s="27"/>
      <c r="C138" s="27"/>
      <c r="D138" s="27"/>
      <c r="E138" s="27"/>
      <c r="F138" s="27"/>
      <c r="G138" s="27"/>
      <c r="H138" s="27"/>
      <c r="I138" s="27"/>
      <c r="J138" s="27"/>
      <c r="K138" s="27"/>
      <c r="L138" s="27"/>
    </row>
    <row r="139" spans="1:12" ht="15" customHeight="1" x14ac:dyDescent="0.3">
      <c r="B139" s="27"/>
      <c r="C139" s="27"/>
      <c r="D139" s="27"/>
      <c r="E139" s="27"/>
      <c r="F139" s="27"/>
      <c r="G139" s="27"/>
      <c r="H139" s="27"/>
      <c r="I139" s="27"/>
      <c r="J139" s="27"/>
      <c r="K139" s="27"/>
      <c r="L139" s="27"/>
    </row>
    <row r="140" spans="1:12" ht="15" customHeight="1" x14ac:dyDescent="0.3">
      <c r="A140" s="27"/>
      <c r="B140" s="27"/>
      <c r="C140" s="27"/>
      <c r="D140" s="27"/>
      <c r="E140" s="27"/>
      <c r="F140" s="27"/>
      <c r="G140" s="27"/>
      <c r="H140" s="27"/>
      <c r="I140" s="27"/>
      <c r="J140" s="27"/>
      <c r="K140" s="27"/>
      <c r="L140" s="27"/>
    </row>
    <row r="141" spans="1:12" ht="15" customHeight="1" x14ac:dyDescent="0.3">
      <c r="B141" s="27"/>
      <c r="C141" s="27"/>
      <c r="D141" s="27"/>
      <c r="E141" s="27"/>
      <c r="F141" s="27"/>
      <c r="G141" s="27"/>
      <c r="H141" s="27"/>
      <c r="I141" s="27"/>
      <c r="J141" s="27"/>
      <c r="K141" s="27"/>
      <c r="L141" s="27"/>
    </row>
    <row r="142" spans="1:12" ht="15" customHeight="1" x14ac:dyDescent="0.3">
      <c r="A142" s="27"/>
      <c r="B142" s="27"/>
      <c r="C142" s="27"/>
      <c r="D142" s="27"/>
      <c r="E142" s="27"/>
      <c r="F142" s="27"/>
      <c r="G142" s="27"/>
      <c r="H142" s="27"/>
      <c r="I142" s="27"/>
      <c r="J142" s="27"/>
      <c r="K142" s="27"/>
      <c r="L142" s="27"/>
    </row>
    <row r="143" spans="1:12" ht="15" customHeight="1" x14ac:dyDescent="0.3">
      <c r="B143" s="27"/>
      <c r="C143" s="27"/>
      <c r="D143" s="27"/>
      <c r="E143" s="27"/>
      <c r="F143" s="27"/>
      <c r="G143" s="27"/>
      <c r="H143" s="27"/>
      <c r="I143" s="27"/>
      <c r="J143" s="27"/>
      <c r="K143" s="27"/>
      <c r="L143" s="27"/>
    </row>
    <row r="144" spans="1:12" ht="15" customHeight="1" x14ac:dyDescent="0.3">
      <c r="A144" s="27"/>
      <c r="B144" s="27"/>
      <c r="C144" s="27"/>
      <c r="D144" s="27"/>
      <c r="E144" s="27"/>
      <c r="F144" s="27"/>
      <c r="G144" s="27"/>
      <c r="H144" s="27"/>
      <c r="I144" s="27"/>
      <c r="J144" s="27"/>
      <c r="K144" s="27"/>
      <c r="L144" s="27"/>
    </row>
    <row r="145" spans="1:12" ht="15" customHeight="1" x14ac:dyDescent="0.3">
      <c r="B145" s="27"/>
      <c r="C145" s="27"/>
      <c r="D145" s="27"/>
      <c r="E145" s="27"/>
      <c r="F145" s="27"/>
      <c r="G145" s="27"/>
      <c r="H145" s="27"/>
      <c r="I145" s="27"/>
      <c r="J145" s="27"/>
      <c r="K145" s="27"/>
      <c r="L145" s="27"/>
    </row>
    <row r="146" spans="1:12" ht="15" customHeight="1" x14ac:dyDescent="0.3">
      <c r="A146" s="27"/>
      <c r="B146" s="27"/>
      <c r="C146" s="27"/>
      <c r="D146" s="27"/>
      <c r="E146" s="27"/>
      <c r="F146" s="27"/>
      <c r="G146" s="27"/>
      <c r="H146" s="27"/>
      <c r="I146" s="27"/>
      <c r="J146" s="27"/>
      <c r="K146" s="27"/>
      <c r="L146" s="27"/>
    </row>
    <row r="147" spans="1:12" ht="15" customHeight="1" x14ac:dyDescent="0.3">
      <c r="B147" s="27"/>
      <c r="C147" s="27"/>
      <c r="D147" s="27"/>
      <c r="E147" s="27"/>
      <c r="F147" s="27"/>
      <c r="G147" s="27"/>
      <c r="H147" s="27"/>
      <c r="I147" s="27"/>
      <c r="J147" s="27"/>
      <c r="K147" s="27"/>
      <c r="L147" s="27"/>
    </row>
    <row r="148" spans="1:12" ht="15" customHeight="1" x14ac:dyDescent="0.3">
      <c r="A148" s="27"/>
      <c r="B148" s="27"/>
      <c r="C148" s="27"/>
      <c r="D148" s="27"/>
      <c r="E148" s="27"/>
      <c r="F148" s="27"/>
      <c r="G148" s="27"/>
      <c r="H148" s="27"/>
      <c r="I148" s="27"/>
      <c r="J148" s="27"/>
      <c r="K148" s="27"/>
      <c r="L148" s="27"/>
    </row>
    <row r="149" spans="1:12" ht="15" customHeight="1" x14ac:dyDescent="0.3">
      <c r="B149" s="27"/>
      <c r="C149" s="27"/>
      <c r="D149" s="27"/>
      <c r="E149" s="27"/>
      <c r="F149" s="27"/>
      <c r="G149" s="27"/>
      <c r="H149" s="27"/>
      <c r="I149" s="27"/>
      <c r="J149" s="27"/>
      <c r="K149" s="27"/>
      <c r="L149" s="27"/>
    </row>
    <row r="150" spans="1:12" ht="15" customHeight="1" x14ac:dyDescent="0.3">
      <c r="A150" s="27"/>
      <c r="B150" s="27"/>
      <c r="C150" s="27"/>
      <c r="D150" s="27"/>
      <c r="E150" s="27"/>
      <c r="F150" s="27"/>
      <c r="G150" s="27"/>
      <c r="H150" s="27"/>
      <c r="I150" s="27"/>
      <c r="J150" s="27"/>
      <c r="K150" s="27"/>
      <c r="L150" s="27"/>
    </row>
    <row r="151" spans="1:12" ht="15" customHeight="1" x14ac:dyDescent="0.3">
      <c r="B151" s="27"/>
      <c r="C151" s="27"/>
      <c r="D151" s="27"/>
      <c r="E151" s="27"/>
      <c r="F151" s="27"/>
      <c r="G151" s="27"/>
      <c r="H151" s="27"/>
      <c r="I151" s="27"/>
      <c r="J151" s="27"/>
      <c r="K151" s="27"/>
      <c r="L151" s="27"/>
    </row>
    <row r="152" spans="1:12" ht="15" customHeight="1" x14ac:dyDescent="0.3">
      <c r="A152" s="27"/>
      <c r="B152" s="27"/>
      <c r="C152" s="27"/>
      <c r="D152" s="27"/>
      <c r="E152" s="27"/>
      <c r="F152" s="27"/>
      <c r="G152" s="27"/>
      <c r="H152" s="27"/>
      <c r="I152" s="27"/>
      <c r="J152" s="27"/>
      <c r="K152" s="27"/>
      <c r="L152" s="27"/>
    </row>
    <row r="153" spans="1:12" ht="15" customHeight="1" x14ac:dyDescent="0.3">
      <c r="B153" s="27"/>
      <c r="C153" s="27"/>
      <c r="D153" s="27"/>
      <c r="E153" s="27"/>
      <c r="F153" s="27"/>
      <c r="G153" s="27"/>
      <c r="H153" s="27"/>
      <c r="I153" s="27"/>
      <c r="J153" s="27"/>
      <c r="K153" s="27"/>
      <c r="L153" s="27"/>
    </row>
    <row r="154" spans="1:12" ht="15" customHeight="1" x14ac:dyDescent="0.3">
      <c r="A154" s="27"/>
      <c r="B154" s="27"/>
      <c r="C154" s="27"/>
      <c r="D154" s="27"/>
      <c r="E154" s="27"/>
      <c r="F154" s="27"/>
      <c r="G154" s="27"/>
      <c r="H154" s="27"/>
      <c r="I154" s="27"/>
      <c r="J154" s="27"/>
      <c r="K154" s="27"/>
      <c r="L154" s="27"/>
    </row>
    <row r="155" spans="1:12" ht="15" customHeight="1" x14ac:dyDescent="0.3">
      <c r="B155" s="27"/>
      <c r="C155" s="27"/>
      <c r="D155" s="27"/>
      <c r="E155" s="27"/>
      <c r="F155" s="27"/>
      <c r="G155" s="27"/>
      <c r="H155" s="27"/>
      <c r="I155" s="27"/>
      <c r="J155" s="27"/>
      <c r="K155" s="27"/>
      <c r="L155" s="27"/>
    </row>
    <row r="156" spans="1:12" ht="15" customHeight="1" x14ac:dyDescent="0.3">
      <c r="A156" s="27"/>
      <c r="B156" s="27"/>
      <c r="C156" s="27"/>
      <c r="D156" s="27"/>
      <c r="E156" s="27"/>
      <c r="F156" s="27"/>
      <c r="G156" s="27"/>
      <c r="H156" s="27"/>
      <c r="I156" s="27"/>
      <c r="J156" s="27"/>
      <c r="K156" s="27"/>
      <c r="L156" s="27"/>
    </row>
    <row r="157" spans="1:12" ht="15" customHeight="1" x14ac:dyDescent="0.3">
      <c r="B157" s="27"/>
      <c r="C157" s="27"/>
      <c r="D157" s="27"/>
      <c r="E157" s="27"/>
      <c r="F157" s="27"/>
      <c r="G157" s="27"/>
      <c r="H157" s="27"/>
      <c r="I157" s="27"/>
      <c r="J157" s="27"/>
      <c r="K157" s="27"/>
      <c r="L157" s="27"/>
    </row>
    <row r="158" spans="1:12" ht="15" customHeight="1" x14ac:dyDescent="0.3">
      <c r="A158" s="27"/>
      <c r="B158" s="27"/>
      <c r="C158" s="27"/>
      <c r="D158" s="27"/>
      <c r="E158" s="27"/>
      <c r="F158" s="27"/>
      <c r="G158" s="27"/>
      <c r="H158" s="27"/>
      <c r="I158" s="27"/>
      <c r="J158" s="27"/>
      <c r="K158" s="27"/>
      <c r="L158" s="27"/>
    </row>
    <row r="159" spans="1:12" ht="15" customHeight="1" x14ac:dyDescent="0.3">
      <c r="B159" s="27"/>
      <c r="C159" s="27"/>
      <c r="D159" s="27"/>
      <c r="E159" s="27"/>
      <c r="F159" s="27"/>
      <c r="G159" s="27"/>
      <c r="H159" s="27"/>
      <c r="I159" s="27"/>
      <c r="J159" s="27"/>
      <c r="K159" s="27"/>
      <c r="L159" s="27"/>
    </row>
    <row r="160" spans="1:12" ht="15" customHeight="1" x14ac:dyDescent="0.3">
      <c r="A160" s="27"/>
      <c r="B160" s="27"/>
      <c r="C160" s="27"/>
      <c r="D160" s="27"/>
      <c r="E160" s="27"/>
      <c r="F160" s="27"/>
      <c r="G160" s="27"/>
      <c r="H160" s="27"/>
      <c r="I160" s="27"/>
      <c r="J160" s="27"/>
      <c r="K160" s="27"/>
      <c r="L160" s="27"/>
    </row>
    <row r="161" spans="1:12" ht="15" customHeight="1" x14ac:dyDescent="0.3">
      <c r="B161" s="27"/>
      <c r="C161" s="27"/>
      <c r="D161" s="27"/>
      <c r="E161" s="27"/>
      <c r="F161" s="27"/>
      <c r="G161" s="27"/>
      <c r="H161" s="27"/>
      <c r="I161" s="27"/>
      <c r="J161" s="27"/>
      <c r="K161" s="27"/>
      <c r="L161" s="27"/>
    </row>
    <row r="162" spans="1:12" ht="15" customHeight="1" x14ac:dyDescent="0.3">
      <c r="A162" s="27"/>
      <c r="B162" s="27"/>
      <c r="C162" s="27"/>
      <c r="D162" s="27"/>
      <c r="E162" s="27"/>
      <c r="F162" s="27"/>
      <c r="G162" s="27"/>
      <c r="H162" s="27"/>
      <c r="I162" s="27"/>
      <c r="J162" s="27"/>
      <c r="K162" s="27"/>
      <c r="L162" s="27"/>
    </row>
    <row r="163" spans="1:12" ht="15" customHeight="1" x14ac:dyDescent="0.3">
      <c r="B163" s="27"/>
      <c r="C163" s="27"/>
      <c r="D163" s="27"/>
      <c r="E163" s="27"/>
      <c r="F163" s="27"/>
      <c r="G163" s="27"/>
      <c r="H163" s="27"/>
      <c r="I163" s="27"/>
      <c r="J163" s="27"/>
      <c r="K163" s="27"/>
      <c r="L163" s="27"/>
    </row>
    <row r="164" spans="1:12" ht="15" customHeight="1" x14ac:dyDescent="0.3">
      <c r="A164" s="27"/>
      <c r="B164" s="27"/>
      <c r="C164" s="27"/>
      <c r="D164" s="27"/>
      <c r="E164" s="27"/>
      <c r="F164" s="27"/>
      <c r="G164" s="27"/>
      <c r="H164" s="27"/>
      <c r="I164" s="27"/>
      <c r="J164" s="27"/>
      <c r="K164" s="27"/>
      <c r="L164" s="27"/>
    </row>
    <row r="165" spans="1:12" ht="15" customHeight="1" x14ac:dyDescent="0.3">
      <c r="B165" s="27"/>
      <c r="C165" s="27"/>
      <c r="D165" s="27"/>
      <c r="E165" s="27"/>
      <c r="F165" s="27"/>
      <c r="G165" s="27"/>
      <c r="H165" s="27"/>
      <c r="I165" s="27"/>
      <c r="J165" s="27"/>
      <c r="K165" s="27"/>
      <c r="L165" s="27"/>
    </row>
    <row r="166" spans="1:12" ht="15" customHeight="1" x14ac:dyDescent="0.3">
      <c r="A166" s="27"/>
      <c r="B166" s="27"/>
      <c r="C166" s="27"/>
      <c r="D166" s="27"/>
      <c r="E166" s="27"/>
      <c r="F166" s="27"/>
      <c r="G166" s="27"/>
      <c r="H166" s="27"/>
      <c r="I166" s="27"/>
      <c r="J166" s="27"/>
      <c r="K166" s="27"/>
      <c r="L166" s="27"/>
    </row>
    <row r="167" spans="1:12" ht="15" customHeight="1" x14ac:dyDescent="0.3">
      <c r="B167" s="27"/>
      <c r="C167" s="27"/>
      <c r="D167" s="27"/>
      <c r="E167" s="27"/>
      <c r="F167" s="27"/>
      <c r="G167" s="27"/>
      <c r="H167" s="27"/>
      <c r="I167" s="27"/>
      <c r="J167" s="27"/>
      <c r="K167" s="27"/>
      <c r="L167" s="27"/>
    </row>
    <row r="168" spans="1:12" ht="15" customHeight="1" x14ac:dyDescent="0.3">
      <c r="A168" s="27"/>
      <c r="B168" s="27"/>
      <c r="C168" s="27"/>
      <c r="D168" s="27"/>
      <c r="E168" s="27"/>
      <c r="F168" s="27"/>
      <c r="G168" s="27"/>
      <c r="H168" s="27"/>
      <c r="I168" s="27"/>
      <c r="J168" s="27"/>
      <c r="K168" s="27"/>
      <c r="L168" s="27"/>
    </row>
    <row r="169" spans="1:12" ht="15" customHeight="1" x14ac:dyDescent="0.3">
      <c r="B169" s="27"/>
      <c r="C169" s="27"/>
      <c r="D169" s="27"/>
      <c r="E169" s="27"/>
      <c r="F169" s="27"/>
      <c r="G169" s="27"/>
      <c r="H169" s="27"/>
      <c r="I169" s="27"/>
      <c r="J169" s="27"/>
      <c r="K169" s="27"/>
      <c r="L169" s="27"/>
    </row>
    <row r="170" spans="1:12" ht="15" customHeight="1" x14ac:dyDescent="0.3">
      <c r="A170" s="27"/>
      <c r="B170" s="27"/>
      <c r="C170" s="27"/>
      <c r="D170" s="27"/>
      <c r="E170" s="27"/>
      <c r="F170" s="27"/>
      <c r="G170" s="27"/>
      <c r="H170" s="27"/>
      <c r="I170" s="27"/>
      <c r="J170" s="27"/>
      <c r="K170" s="27"/>
      <c r="L170" s="27"/>
    </row>
    <row r="171" spans="1:12" ht="15" customHeight="1" x14ac:dyDescent="0.3">
      <c r="B171" s="27"/>
      <c r="C171" s="27"/>
      <c r="D171" s="27"/>
      <c r="E171" s="27"/>
      <c r="F171" s="27"/>
      <c r="G171" s="27"/>
      <c r="H171" s="27"/>
      <c r="I171" s="27"/>
      <c r="J171" s="27"/>
      <c r="K171" s="27"/>
      <c r="L171" s="27"/>
    </row>
    <row r="172" spans="1:12" ht="15" customHeight="1" x14ac:dyDescent="0.3">
      <c r="A172" s="27"/>
      <c r="B172" s="27"/>
      <c r="C172" s="27"/>
      <c r="D172" s="27"/>
      <c r="E172" s="27"/>
      <c r="F172" s="27"/>
      <c r="G172" s="27"/>
      <c r="H172" s="27"/>
      <c r="I172" s="27"/>
      <c r="J172" s="27"/>
      <c r="K172" s="27"/>
      <c r="L172" s="27"/>
    </row>
    <row r="173" spans="1:12" ht="15" customHeight="1" x14ac:dyDescent="0.3">
      <c r="B173" s="27"/>
      <c r="C173" s="27"/>
      <c r="D173" s="27"/>
      <c r="E173" s="27"/>
      <c r="F173" s="27"/>
      <c r="G173" s="27"/>
      <c r="H173" s="27"/>
      <c r="I173" s="27"/>
      <c r="J173" s="27"/>
      <c r="K173" s="27"/>
      <c r="L173" s="27"/>
    </row>
    <row r="174" spans="1:12" ht="15" customHeight="1" x14ac:dyDescent="0.3">
      <c r="A174" s="27"/>
      <c r="B174" s="27"/>
      <c r="C174" s="27"/>
      <c r="D174" s="27"/>
      <c r="E174" s="27"/>
      <c r="F174" s="27"/>
      <c r="G174" s="27"/>
      <c r="H174" s="27"/>
      <c r="I174" s="27"/>
      <c r="J174" s="27"/>
      <c r="K174" s="27"/>
      <c r="L174" s="27"/>
    </row>
    <row r="175" spans="1:12" ht="15" customHeight="1" x14ac:dyDescent="0.3">
      <c r="B175" s="27"/>
      <c r="C175" s="27"/>
      <c r="D175" s="27"/>
      <c r="E175" s="27"/>
      <c r="F175" s="27"/>
      <c r="G175" s="27"/>
      <c r="H175" s="27"/>
      <c r="I175" s="27"/>
      <c r="J175" s="27"/>
      <c r="K175" s="27"/>
      <c r="L175" s="27"/>
    </row>
    <row r="176" spans="1:12" ht="15" customHeight="1" x14ac:dyDescent="0.3">
      <c r="A176" s="27"/>
      <c r="B176" s="27"/>
      <c r="C176" s="27"/>
      <c r="D176" s="27"/>
      <c r="E176" s="27"/>
      <c r="F176" s="27"/>
      <c r="G176" s="27"/>
      <c r="H176" s="27"/>
      <c r="I176" s="27"/>
      <c r="J176" s="27"/>
      <c r="K176" s="27"/>
      <c r="L176" s="27"/>
    </row>
    <row r="177" spans="1:12" ht="15" customHeight="1" x14ac:dyDescent="0.3">
      <c r="B177" s="27"/>
      <c r="C177" s="27"/>
      <c r="D177" s="27"/>
      <c r="E177" s="27"/>
      <c r="F177" s="27"/>
      <c r="G177" s="27"/>
      <c r="H177" s="27"/>
      <c r="I177" s="27"/>
      <c r="J177" s="27"/>
      <c r="K177" s="27"/>
      <c r="L177" s="27"/>
    </row>
    <row r="178" spans="1:12" ht="15" customHeight="1" x14ac:dyDescent="0.3">
      <c r="A178" s="27"/>
      <c r="B178" s="27"/>
      <c r="C178" s="27"/>
      <c r="D178" s="27"/>
      <c r="E178" s="27"/>
      <c r="F178" s="27"/>
      <c r="G178" s="27"/>
      <c r="H178" s="27"/>
      <c r="I178" s="27"/>
      <c r="J178" s="27"/>
      <c r="K178" s="27"/>
      <c r="L178" s="27"/>
    </row>
    <row r="179" spans="1:12" ht="15" customHeight="1" x14ac:dyDescent="0.3">
      <c r="B179" s="27"/>
      <c r="C179" s="27"/>
      <c r="D179" s="27"/>
      <c r="E179" s="27"/>
      <c r="F179" s="27"/>
      <c r="G179" s="27"/>
      <c r="H179" s="27"/>
      <c r="I179" s="27"/>
      <c r="J179" s="27"/>
      <c r="K179" s="27"/>
      <c r="L179" s="27"/>
    </row>
    <row r="180" spans="1:12" ht="15" customHeight="1" x14ac:dyDescent="0.3">
      <c r="A180" s="27"/>
      <c r="B180" s="27"/>
      <c r="C180" s="27"/>
      <c r="D180" s="27"/>
      <c r="E180" s="27"/>
      <c r="F180" s="27"/>
      <c r="G180" s="27"/>
      <c r="H180" s="27"/>
      <c r="I180" s="27"/>
      <c r="J180" s="27"/>
      <c r="K180" s="27"/>
      <c r="L180" s="27"/>
    </row>
    <row r="181" spans="1:12" ht="15" customHeight="1" x14ac:dyDescent="0.3">
      <c r="B181" s="27"/>
      <c r="C181" s="27"/>
      <c r="D181" s="27"/>
      <c r="E181" s="27"/>
      <c r="F181" s="27"/>
      <c r="G181" s="27"/>
      <c r="H181" s="27"/>
      <c r="I181" s="27"/>
      <c r="J181" s="27"/>
      <c r="K181" s="27"/>
      <c r="L181" s="27"/>
    </row>
    <row r="182" spans="1:12" ht="15" customHeight="1" x14ac:dyDescent="0.3">
      <c r="A182" s="27"/>
      <c r="B182" s="27"/>
      <c r="C182" s="27"/>
      <c r="D182" s="27"/>
      <c r="E182" s="27"/>
      <c r="F182" s="27"/>
      <c r="G182" s="27"/>
      <c r="H182" s="27"/>
      <c r="I182" s="27"/>
      <c r="J182" s="27"/>
      <c r="K182" s="27"/>
      <c r="L182" s="27"/>
    </row>
    <row r="183" spans="1:12" ht="15" customHeight="1" x14ac:dyDescent="0.3">
      <c r="B183" s="27"/>
      <c r="C183" s="27"/>
      <c r="D183" s="27"/>
      <c r="E183" s="27"/>
      <c r="F183" s="27"/>
      <c r="G183" s="27"/>
      <c r="H183" s="27"/>
      <c r="I183" s="27"/>
      <c r="J183" s="27"/>
      <c r="K183" s="27"/>
      <c r="L183" s="27"/>
    </row>
    <row r="184" spans="1:12" ht="15" customHeight="1" x14ac:dyDescent="0.3">
      <c r="A184" s="27"/>
      <c r="B184" s="27"/>
      <c r="C184" s="27"/>
      <c r="D184" s="27"/>
      <c r="E184" s="27"/>
      <c r="F184" s="27"/>
      <c r="G184" s="27"/>
      <c r="H184" s="27"/>
      <c r="I184" s="27"/>
      <c r="J184" s="27"/>
      <c r="K184" s="27"/>
      <c r="L184" s="27"/>
    </row>
    <row r="185" spans="1:12" ht="15" customHeight="1" x14ac:dyDescent="0.3">
      <c r="B185" s="27"/>
      <c r="C185" s="27"/>
      <c r="D185" s="27"/>
      <c r="E185" s="27"/>
      <c r="F185" s="27"/>
      <c r="G185" s="27"/>
      <c r="H185" s="27"/>
      <c r="I185" s="27"/>
      <c r="J185" s="27"/>
      <c r="K185" s="27"/>
      <c r="L185" s="27"/>
    </row>
    <row r="186" spans="1:12" ht="15" customHeight="1" x14ac:dyDescent="0.3">
      <c r="A186" s="27"/>
      <c r="B186" s="27"/>
      <c r="C186" s="27"/>
      <c r="D186" s="27"/>
      <c r="E186" s="27"/>
      <c r="F186" s="27"/>
      <c r="G186" s="27"/>
      <c r="H186" s="27"/>
      <c r="I186" s="27"/>
      <c r="J186" s="27"/>
      <c r="K186" s="27"/>
      <c r="L186" s="27"/>
    </row>
    <row r="187" spans="1:12" ht="15" customHeight="1" x14ac:dyDescent="0.3">
      <c r="B187" s="27"/>
      <c r="C187" s="27"/>
      <c r="D187" s="27"/>
      <c r="E187" s="27"/>
      <c r="F187" s="27"/>
      <c r="G187" s="27"/>
      <c r="H187" s="27"/>
      <c r="I187" s="27"/>
      <c r="J187" s="27"/>
      <c r="K187" s="27"/>
      <c r="L187" s="27"/>
    </row>
    <row r="188" spans="1:12" ht="15" customHeight="1" x14ac:dyDescent="0.3">
      <c r="A188" s="27"/>
      <c r="B188" s="27"/>
      <c r="C188" s="27"/>
      <c r="D188" s="27"/>
      <c r="E188" s="27"/>
      <c r="F188" s="27"/>
      <c r="G188" s="27"/>
      <c r="H188" s="27"/>
      <c r="I188" s="27"/>
      <c r="J188" s="27"/>
      <c r="K188" s="27"/>
      <c r="L188" s="27"/>
    </row>
    <row r="189" spans="1:12" ht="15" customHeight="1" x14ac:dyDescent="0.3">
      <c r="B189" s="27"/>
      <c r="C189" s="27"/>
      <c r="D189" s="27"/>
      <c r="E189" s="27"/>
      <c r="F189" s="27"/>
      <c r="G189" s="27"/>
      <c r="H189" s="27"/>
      <c r="I189" s="27"/>
      <c r="J189" s="27"/>
      <c r="K189" s="27"/>
      <c r="L189" s="27"/>
    </row>
    <row r="190" spans="1:12" ht="15" customHeight="1" x14ac:dyDescent="0.3">
      <c r="A190" s="27"/>
      <c r="B190" s="27"/>
      <c r="C190" s="27"/>
      <c r="D190" s="27"/>
      <c r="E190" s="27"/>
      <c r="F190" s="27"/>
      <c r="G190" s="27"/>
      <c r="H190" s="27"/>
      <c r="I190" s="27"/>
      <c r="J190" s="27"/>
      <c r="K190" s="27"/>
      <c r="L190" s="27"/>
    </row>
    <row r="191" spans="1:12" ht="15" customHeight="1" x14ac:dyDescent="0.3">
      <c r="B191" s="27"/>
      <c r="C191" s="27"/>
      <c r="D191" s="27"/>
      <c r="E191" s="27"/>
      <c r="F191" s="27"/>
      <c r="G191" s="27"/>
      <c r="H191" s="27"/>
      <c r="I191" s="27"/>
      <c r="J191" s="27"/>
      <c r="K191" s="27"/>
      <c r="L191" s="27"/>
    </row>
    <row r="192" spans="1:12" ht="15" customHeight="1" x14ac:dyDescent="0.3">
      <c r="A192" s="27"/>
      <c r="B192" s="27"/>
      <c r="C192" s="27"/>
      <c r="D192" s="27"/>
      <c r="E192" s="27"/>
      <c r="F192" s="27"/>
      <c r="G192" s="27"/>
      <c r="H192" s="27"/>
      <c r="I192" s="27"/>
      <c r="J192" s="27"/>
      <c r="K192" s="27"/>
      <c r="L192" s="27"/>
    </row>
    <row r="193" spans="1:12" ht="15" customHeight="1" x14ac:dyDescent="0.3">
      <c r="B193" s="27"/>
      <c r="C193" s="27"/>
      <c r="D193" s="27"/>
      <c r="E193" s="27"/>
      <c r="F193" s="27"/>
      <c r="G193" s="27"/>
      <c r="H193" s="27"/>
      <c r="I193" s="27"/>
      <c r="J193" s="27"/>
      <c r="K193" s="27"/>
      <c r="L193" s="27"/>
    </row>
    <row r="194" spans="1:12" ht="15" customHeight="1" x14ac:dyDescent="0.3">
      <c r="A194" s="27"/>
      <c r="B194" s="27"/>
      <c r="C194" s="27"/>
      <c r="D194" s="27"/>
      <c r="E194" s="27"/>
      <c r="F194" s="27"/>
      <c r="G194" s="27"/>
      <c r="H194" s="27"/>
      <c r="I194" s="27"/>
      <c r="J194" s="27"/>
      <c r="K194" s="27"/>
      <c r="L194" s="27"/>
    </row>
    <row r="195" spans="1:12" ht="15" customHeight="1" x14ac:dyDescent="0.3">
      <c r="B195" s="27"/>
      <c r="C195" s="27"/>
      <c r="D195" s="27"/>
      <c r="E195" s="27"/>
      <c r="F195" s="27"/>
      <c r="G195" s="27"/>
      <c r="H195" s="27"/>
      <c r="I195" s="27"/>
      <c r="J195" s="27"/>
      <c r="K195" s="27"/>
      <c r="L195" s="27"/>
    </row>
    <row r="196" spans="1:12" ht="15" customHeight="1" x14ac:dyDescent="0.3">
      <c r="A196" s="27"/>
      <c r="B196" s="27"/>
      <c r="C196" s="27"/>
      <c r="D196" s="27"/>
      <c r="E196" s="27"/>
      <c r="F196" s="27"/>
      <c r="G196" s="27"/>
      <c r="H196" s="27"/>
      <c r="I196" s="27"/>
      <c r="J196" s="27"/>
      <c r="K196" s="27"/>
      <c r="L196" s="27"/>
    </row>
    <row r="197" spans="1:12" ht="15" customHeight="1" x14ac:dyDescent="0.3">
      <c r="B197" s="27"/>
      <c r="C197" s="27"/>
      <c r="D197" s="27"/>
      <c r="E197" s="27"/>
      <c r="F197" s="27"/>
      <c r="G197" s="27"/>
      <c r="H197" s="27"/>
      <c r="I197" s="27"/>
      <c r="J197" s="27"/>
      <c r="K197" s="27"/>
      <c r="L197" s="27"/>
    </row>
    <row r="198" spans="1:12" ht="15" customHeight="1" x14ac:dyDescent="0.3">
      <c r="A198" s="27"/>
      <c r="B198" s="27"/>
      <c r="C198" s="27"/>
      <c r="D198" s="27"/>
      <c r="E198" s="27"/>
      <c r="F198" s="27"/>
      <c r="G198" s="27"/>
      <c r="H198" s="27"/>
      <c r="I198" s="27"/>
      <c r="J198" s="27"/>
      <c r="K198" s="27"/>
      <c r="L198" s="27"/>
    </row>
    <row r="199" spans="1:12" ht="15" customHeight="1" x14ac:dyDescent="0.3">
      <c r="B199" s="27"/>
      <c r="C199" s="27"/>
      <c r="D199" s="27"/>
      <c r="E199" s="27"/>
      <c r="F199" s="27"/>
      <c r="G199" s="27"/>
      <c r="H199" s="27"/>
      <c r="I199" s="27"/>
      <c r="J199" s="27"/>
      <c r="K199" s="27"/>
      <c r="L199" s="27"/>
    </row>
    <row r="200" spans="1:12" ht="15" customHeight="1" x14ac:dyDescent="0.3">
      <c r="A200" s="27"/>
      <c r="B200" s="27"/>
      <c r="C200" s="27"/>
      <c r="D200" s="27"/>
      <c r="E200" s="27"/>
      <c r="F200" s="27"/>
      <c r="G200" s="27"/>
      <c r="H200" s="27"/>
      <c r="I200" s="27"/>
      <c r="J200" s="27"/>
      <c r="K200" s="27"/>
      <c r="L200" s="27"/>
    </row>
    <row r="201" spans="1:12" ht="15" customHeight="1" x14ac:dyDescent="0.3">
      <c r="B201" s="27"/>
      <c r="C201" s="27"/>
      <c r="D201" s="27"/>
      <c r="E201" s="27"/>
      <c r="F201" s="27"/>
      <c r="G201" s="27"/>
      <c r="H201" s="27"/>
      <c r="I201" s="27"/>
      <c r="J201" s="27"/>
      <c r="K201" s="27"/>
      <c r="L201" s="27"/>
    </row>
    <row r="202" spans="1:12" ht="15" customHeight="1" x14ac:dyDescent="0.3">
      <c r="A202" s="27"/>
      <c r="B202" s="27"/>
      <c r="C202" s="27"/>
      <c r="D202" s="27"/>
      <c r="E202" s="27"/>
      <c r="F202" s="27"/>
      <c r="G202" s="27"/>
      <c r="H202" s="27"/>
      <c r="I202" s="27"/>
      <c r="J202" s="27"/>
      <c r="K202" s="27"/>
      <c r="L202" s="27"/>
    </row>
    <row r="203" spans="1:12" ht="15" customHeight="1" x14ac:dyDescent="0.3">
      <c r="B203" s="27"/>
      <c r="C203" s="27"/>
      <c r="D203" s="27"/>
      <c r="E203" s="27"/>
      <c r="F203" s="27"/>
      <c r="G203" s="27"/>
      <c r="H203" s="27"/>
      <c r="I203" s="27"/>
      <c r="J203" s="27"/>
      <c r="K203" s="27"/>
      <c r="L203" s="27"/>
    </row>
    <row r="204" spans="1:12" ht="15" customHeight="1" x14ac:dyDescent="0.3">
      <c r="A204" s="27"/>
      <c r="B204" s="27"/>
      <c r="C204" s="27"/>
      <c r="D204" s="27"/>
      <c r="E204" s="27"/>
      <c r="F204" s="27"/>
      <c r="G204" s="27"/>
      <c r="H204" s="27"/>
      <c r="I204" s="27"/>
      <c r="J204" s="27"/>
      <c r="K204" s="27"/>
      <c r="L204" s="27"/>
    </row>
    <row r="205" spans="1:12" ht="15" customHeight="1" x14ac:dyDescent="0.3">
      <c r="B205" s="27"/>
      <c r="C205" s="27"/>
      <c r="D205" s="27"/>
      <c r="E205" s="27"/>
      <c r="F205" s="27"/>
      <c r="G205" s="27"/>
      <c r="H205" s="27"/>
      <c r="I205" s="27"/>
      <c r="J205" s="27"/>
      <c r="K205" s="27"/>
      <c r="L205" s="27"/>
    </row>
    <row r="206" spans="1:12" ht="15" customHeight="1" x14ac:dyDescent="0.3">
      <c r="A206" s="27"/>
      <c r="B206" s="27"/>
      <c r="C206" s="27"/>
      <c r="D206" s="27"/>
      <c r="E206" s="27"/>
      <c r="F206" s="27"/>
      <c r="G206" s="27"/>
      <c r="H206" s="27"/>
      <c r="I206" s="27"/>
      <c r="J206" s="27"/>
      <c r="K206" s="27"/>
      <c r="L206" s="27"/>
    </row>
    <row r="207" spans="1:12" ht="15" customHeight="1" x14ac:dyDescent="0.3">
      <c r="B207" s="27"/>
      <c r="C207" s="27"/>
      <c r="D207" s="27"/>
      <c r="E207" s="27"/>
      <c r="F207" s="27"/>
      <c r="G207" s="27"/>
      <c r="H207" s="27"/>
      <c r="I207" s="27"/>
      <c r="J207" s="27"/>
      <c r="K207" s="27"/>
      <c r="L207" s="27"/>
    </row>
    <row r="208" spans="1:12" ht="15" customHeight="1" x14ac:dyDescent="0.3">
      <c r="A208" s="27"/>
      <c r="B208" s="27"/>
      <c r="C208" s="27"/>
      <c r="D208" s="27"/>
      <c r="E208" s="27"/>
      <c r="F208" s="27"/>
      <c r="G208" s="27"/>
      <c r="H208" s="27"/>
      <c r="I208" s="27"/>
      <c r="J208" s="27"/>
      <c r="K208" s="27"/>
      <c r="L208" s="27"/>
    </row>
    <row r="209" spans="1:12" ht="15" customHeight="1" x14ac:dyDescent="0.3">
      <c r="B209" s="27"/>
      <c r="C209" s="27"/>
      <c r="D209" s="27"/>
      <c r="E209" s="27"/>
      <c r="F209" s="27"/>
      <c r="G209" s="27"/>
      <c r="H209" s="27"/>
      <c r="I209" s="27"/>
      <c r="J209" s="27"/>
      <c r="K209" s="27"/>
      <c r="L209" s="27"/>
    </row>
    <row r="210" spans="1:12" ht="15" customHeight="1" x14ac:dyDescent="0.3">
      <c r="A210" s="27"/>
      <c r="B210" s="27"/>
      <c r="C210" s="27"/>
      <c r="D210" s="27"/>
      <c r="E210" s="27"/>
      <c r="F210" s="27"/>
      <c r="G210" s="27"/>
      <c r="H210" s="27"/>
      <c r="I210" s="27"/>
      <c r="J210" s="27"/>
      <c r="K210" s="27"/>
      <c r="L210" s="27"/>
    </row>
    <row r="211" spans="1:12" ht="15" customHeight="1" x14ac:dyDescent="0.3">
      <c r="B211" s="27"/>
      <c r="C211" s="27"/>
      <c r="D211" s="27"/>
      <c r="E211" s="27"/>
      <c r="F211" s="27"/>
      <c r="G211" s="27"/>
      <c r="H211" s="27"/>
      <c r="I211" s="27"/>
      <c r="J211" s="27"/>
      <c r="K211" s="27"/>
      <c r="L211" s="27"/>
    </row>
    <row r="212" spans="1:12" ht="15" customHeight="1" x14ac:dyDescent="0.3">
      <c r="A212" s="27"/>
      <c r="B212" s="27"/>
      <c r="C212" s="27"/>
      <c r="D212" s="27"/>
      <c r="E212" s="27"/>
      <c r="F212" s="27"/>
      <c r="G212" s="27"/>
      <c r="H212" s="27"/>
      <c r="I212" s="27"/>
      <c r="J212" s="27"/>
      <c r="K212" s="27"/>
      <c r="L212" s="27"/>
    </row>
    <row r="213" spans="1:12" ht="15" customHeight="1" x14ac:dyDescent="0.3">
      <c r="B213" s="27"/>
      <c r="C213" s="27"/>
      <c r="D213" s="27"/>
      <c r="E213" s="27"/>
      <c r="F213" s="27"/>
      <c r="G213" s="27"/>
      <c r="H213" s="27"/>
      <c r="I213" s="27"/>
      <c r="J213" s="27"/>
      <c r="K213" s="27"/>
      <c r="L213" s="27"/>
    </row>
    <row r="214" spans="1:12" ht="15" customHeight="1" x14ac:dyDescent="0.3">
      <c r="A214" s="27"/>
      <c r="B214" s="27"/>
      <c r="C214" s="27"/>
      <c r="D214" s="27"/>
      <c r="E214" s="27"/>
      <c r="F214" s="27"/>
      <c r="G214" s="27"/>
      <c r="H214" s="27"/>
      <c r="I214" s="27"/>
      <c r="J214" s="27"/>
      <c r="K214" s="27"/>
      <c r="L214" s="27"/>
    </row>
    <row r="215" spans="1:12" ht="15" customHeight="1" x14ac:dyDescent="0.3">
      <c r="B215" s="27"/>
      <c r="C215" s="27"/>
      <c r="D215" s="27"/>
      <c r="E215" s="27"/>
      <c r="F215" s="27"/>
      <c r="G215" s="27"/>
      <c r="H215" s="27"/>
      <c r="I215" s="27"/>
      <c r="J215" s="27"/>
      <c r="K215" s="27"/>
      <c r="L215" s="27"/>
    </row>
    <row r="216" spans="1:12" ht="15" customHeight="1" x14ac:dyDescent="0.3">
      <c r="A216" s="27"/>
      <c r="B216" s="27"/>
      <c r="C216" s="27"/>
      <c r="D216" s="27"/>
      <c r="E216" s="27"/>
      <c r="F216" s="27"/>
      <c r="G216" s="27"/>
      <c r="H216" s="27"/>
      <c r="I216" s="27"/>
      <c r="J216" s="27"/>
      <c r="K216" s="27"/>
      <c r="L216" s="27"/>
    </row>
    <row r="217" spans="1:12" ht="15" customHeight="1" x14ac:dyDescent="0.3">
      <c r="B217" s="27"/>
      <c r="C217" s="27"/>
      <c r="D217" s="27"/>
      <c r="E217" s="27"/>
      <c r="F217" s="27"/>
      <c r="G217" s="27"/>
      <c r="H217" s="27"/>
      <c r="I217" s="27"/>
      <c r="J217" s="27"/>
      <c r="K217" s="27"/>
      <c r="L217" s="27"/>
    </row>
    <row r="218" spans="1:12" ht="15" customHeight="1" x14ac:dyDescent="0.3">
      <c r="A218" s="27"/>
      <c r="B218" s="27"/>
      <c r="C218" s="27"/>
      <c r="D218" s="27"/>
      <c r="E218" s="27"/>
      <c r="F218" s="27"/>
      <c r="G218" s="27"/>
      <c r="H218" s="27"/>
      <c r="I218" s="27"/>
      <c r="J218" s="27"/>
      <c r="K218" s="27"/>
      <c r="L218" s="27"/>
    </row>
    <row r="219" spans="1:12" ht="15" customHeight="1" x14ac:dyDescent="0.3">
      <c r="B219" s="27"/>
      <c r="C219" s="27"/>
      <c r="D219" s="27"/>
      <c r="E219" s="27"/>
      <c r="F219" s="27"/>
      <c r="G219" s="27"/>
      <c r="H219" s="27"/>
      <c r="I219" s="27"/>
      <c r="J219" s="27"/>
      <c r="K219" s="27"/>
      <c r="L219" s="27"/>
    </row>
    <row r="220" spans="1:12" ht="15" customHeight="1" x14ac:dyDescent="0.3">
      <c r="A220" s="27"/>
      <c r="B220" s="27"/>
      <c r="C220" s="27"/>
      <c r="D220" s="27"/>
      <c r="E220" s="27"/>
      <c r="F220" s="27"/>
      <c r="G220" s="27"/>
      <c r="H220" s="27"/>
      <c r="I220" s="27"/>
      <c r="J220" s="27"/>
      <c r="K220" s="27"/>
      <c r="L220" s="27"/>
    </row>
    <row r="221" spans="1:12" ht="15" customHeight="1" x14ac:dyDescent="0.3">
      <c r="B221" s="27"/>
      <c r="C221" s="27"/>
      <c r="D221" s="27"/>
      <c r="E221" s="27"/>
      <c r="F221" s="27"/>
      <c r="G221" s="27"/>
      <c r="H221" s="27"/>
      <c r="I221" s="27"/>
      <c r="J221" s="27"/>
      <c r="K221" s="27"/>
      <c r="L221" s="27"/>
    </row>
    <row r="222" spans="1:12" ht="15" customHeight="1" x14ac:dyDescent="0.3">
      <c r="A222" s="27"/>
      <c r="B222" s="27"/>
      <c r="C222" s="27"/>
      <c r="D222" s="27"/>
      <c r="E222" s="27"/>
      <c r="F222" s="27"/>
      <c r="G222" s="27"/>
      <c r="H222" s="27"/>
      <c r="I222" s="27"/>
      <c r="J222" s="27"/>
      <c r="K222" s="27"/>
      <c r="L222" s="27"/>
    </row>
    <row r="223" spans="1:12" ht="15" customHeight="1" x14ac:dyDescent="0.3">
      <c r="B223" s="27"/>
      <c r="C223" s="27"/>
      <c r="D223" s="27"/>
      <c r="E223" s="27"/>
      <c r="F223" s="27"/>
      <c r="G223" s="27"/>
      <c r="H223" s="27"/>
      <c r="I223" s="27"/>
      <c r="J223" s="27"/>
      <c r="K223" s="27"/>
      <c r="L223" s="27"/>
    </row>
    <row r="224" spans="1:12" ht="15" customHeight="1" x14ac:dyDescent="0.3">
      <c r="A224" s="27"/>
      <c r="B224" s="27"/>
      <c r="C224" s="27"/>
      <c r="D224" s="27"/>
      <c r="E224" s="27"/>
      <c r="F224" s="27"/>
      <c r="G224" s="27"/>
      <c r="H224" s="27"/>
      <c r="I224" s="27"/>
      <c r="J224" s="27"/>
      <c r="K224" s="27"/>
      <c r="L224" s="27"/>
    </row>
    <row r="225" spans="1:12" ht="15" customHeight="1" x14ac:dyDescent="0.3">
      <c r="B225" s="27"/>
      <c r="C225" s="27"/>
      <c r="D225" s="27"/>
      <c r="E225" s="27"/>
      <c r="F225" s="27"/>
      <c r="G225" s="27"/>
      <c r="H225" s="27"/>
      <c r="I225" s="27"/>
      <c r="J225" s="27"/>
      <c r="K225" s="27"/>
      <c r="L225" s="27"/>
    </row>
    <row r="226" spans="1:12" ht="15" customHeight="1" x14ac:dyDescent="0.3">
      <c r="A226" s="27"/>
      <c r="B226" s="27"/>
      <c r="C226" s="27"/>
      <c r="D226" s="27"/>
      <c r="E226" s="27"/>
      <c r="F226" s="27"/>
      <c r="G226" s="27"/>
      <c r="H226" s="27"/>
      <c r="I226" s="27"/>
      <c r="J226" s="27"/>
      <c r="K226" s="27"/>
      <c r="L226" s="27"/>
    </row>
    <row r="227" spans="1:12" ht="15" customHeight="1" x14ac:dyDescent="0.3">
      <c r="B227" s="27"/>
      <c r="C227" s="27"/>
      <c r="D227" s="27"/>
      <c r="E227" s="27"/>
      <c r="F227" s="27"/>
      <c r="G227" s="27"/>
      <c r="H227" s="27"/>
      <c r="I227" s="27"/>
      <c r="J227" s="27"/>
      <c r="K227" s="27"/>
      <c r="L227" s="27"/>
    </row>
    <row r="228" spans="1:12" ht="15" customHeight="1" x14ac:dyDescent="0.3">
      <c r="A228" s="27"/>
      <c r="B228" s="27"/>
      <c r="C228" s="27"/>
      <c r="D228" s="27"/>
      <c r="E228" s="27"/>
      <c r="F228" s="27"/>
      <c r="G228" s="27"/>
      <c r="H228" s="27"/>
      <c r="I228" s="27"/>
      <c r="J228" s="27"/>
      <c r="K228" s="27"/>
      <c r="L228" s="27"/>
    </row>
    <row r="229" spans="1:12" ht="15" customHeight="1" x14ac:dyDescent="0.3">
      <c r="B229" s="27"/>
      <c r="C229" s="27"/>
      <c r="D229" s="27"/>
      <c r="E229" s="27"/>
      <c r="F229" s="27"/>
      <c r="G229" s="27"/>
      <c r="H229" s="27"/>
      <c r="I229" s="27"/>
      <c r="J229" s="27"/>
      <c r="K229" s="27"/>
      <c r="L229" s="27"/>
    </row>
    <row r="230" spans="1:12" ht="15" customHeight="1" x14ac:dyDescent="0.3">
      <c r="A230" s="27"/>
      <c r="B230" s="27"/>
      <c r="C230" s="27"/>
      <c r="D230" s="27"/>
      <c r="E230" s="27"/>
      <c r="F230" s="27"/>
      <c r="G230" s="27"/>
      <c r="H230" s="27"/>
      <c r="I230" s="27"/>
      <c r="J230" s="27"/>
      <c r="K230" s="27"/>
      <c r="L230" s="27"/>
    </row>
    <row r="231" spans="1:12" ht="15" customHeight="1" x14ac:dyDescent="0.3">
      <c r="B231" s="27"/>
      <c r="C231" s="27"/>
      <c r="D231" s="27"/>
      <c r="E231" s="27"/>
      <c r="F231" s="27"/>
      <c r="G231" s="27"/>
      <c r="H231" s="27"/>
      <c r="I231" s="27"/>
      <c r="J231" s="27"/>
      <c r="K231" s="27"/>
      <c r="L231" s="27"/>
    </row>
    <row r="232" spans="1:12" ht="15" customHeight="1" x14ac:dyDescent="0.3">
      <c r="A232" s="27"/>
      <c r="B232" s="27"/>
      <c r="C232" s="27"/>
      <c r="D232" s="27"/>
      <c r="E232" s="27"/>
      <c r="F232" s="27"/>
      <c r="G232" s="27"/>
      <c r="H232" s="27"/>
      <c r="I232" s="27"/>
      <c r="J232" s="27"/>
      <c r="K232" s="27"/>
      <c r="L232" s="27"/>
    </row>
    <row r="233" spans="1:12" ht="15" customHeight="1" x14ac:dyDescent="0.3">
      <c r="B233" s="27"/>
      <c r="C233" s="27"/>
      <c r="D233" s="27"/>
      <c r="E233" s="27"/>
      <c r="F233" s="27"/>
      <c r="G233" s="27"/>
      <c r="H233" s="27"/>
      <c r="I233" s="27"/>
      <c r="J233" s="27"/>
      <c r="K233" s="27"/>
      <c r="L233" s="27"/>
    </row>
    <row r="234" spans="1:12" ht="15" customHeight="1" x14ac:dyDescent="0.3">
      <c r="A234" s="27"/>
      <c r="B234" s="27"/>
      <c r="C234" s="27"/>
      <c r="D234" s="27"/>
      <c r="E234" s="27"/>
      <c r="F234" s="27"/>
      <c r="G234" s="27"/>
      <c r="H234" s="27"/>
      <c r="I234" s="27"/>
      <c r="J234" s="27"/>
      <c r="K234" s="27"/>
      <c r="L234" s="27"/>
    </row>
    <row r="235" spans="1:12" ht="15" customHeight="1" x14ac:dyDescent="0.3">
      <c r="B235" s="27"/>
      <c r="C235" s="27"/>
      <c r="D235" s="27"/>
      <c r="E235" s="27"/>
      <c r="F235" s="27"/>
      <c r="G235" s="27"/>
      <c r="H235" s="27"/>
      <c r="I235" s="27"/>
      <c r="J235" s="27"/>
      <c r="K235" s="27"/>
      <c r="L235" s="27"/>
    </row>
    <row r="236" spans="1:12" ht="15" customHeight="1" x14ac:dyDescent="0.3">
      <c r="A236" s="27"/>
      <c r="B236" s="27"/>
      <c r="C236" s="27"/>
      <c r="D236" s="27"/>
      <c r="E236" s="27"/>
      <c r="F236" s="27"/>
      <c r="G236" s="27"/>
      <c r="H236" s="27"/>
      <c r="I236" s="27"/>
      <c r="J236" s="27"/>
      <c r="K236" s="27"/>
      <c r="L236" s="27"/>
    </row>
    <row r="237" spans="1:12" ht="15" customHeight="1" x14ac:dyDescent="0.3">
      <c r="B237" s="27"/>
      <c r="C237" s="27"/>
      <c r="D237" s="27"/>
      <c r="E237" s="27"/>
      <c r="F237" s="27"/>
      <c r="G237" s="27"/>
      <c r="H237" s="27"/>
      <c r="I237" s="27"/>
      <c r="J237" s="27"/>
      <c r="K237" s="27"/>
      <c r="L237" s="27"/>
    </row>
    <row r="238" spans="1:12" ht="15" customHeight="1" x14ac:dyDescent="0.3">
      <c r="A238" s="27"/>
      <c r="B238" s="27"/>
      <c r="C238" s="27"/>
      <c r="D238" s="27"/>
      <c r="E238" s="27"/>
      <c r="F238" s="27"/>
      <c r="G238" s="27"/>
      <c r="H238" s="27"/>
      <c r="I238" s="27"/>
      <c r="J238" s="27"/>
      <c r="K238" s="27"/>
      <c r="L238" s="27"/>
    </row>
    <row r="239" spans="1:12" ht="15" customHeight="1" x14ac:dyDescent="0.3">
      <c r="B239" s="27"/>
      <c r="C239" s="27"/>
      <c r="D239" s="27"/>
      <c r="E239" s="27"/>
      <c r="F239" s="27"/>
      <c r="G239" s="27"/>
      <c r="H239" s="27"/>
      <c r="I239" s="27"/>
      <c r="J239" s="27"/>
      <c r="K239" s="27"/>
      <c r="L239" s="27"/>
    </row>
    <row r="240" spans="1:12" ht="15" customHeight="1" x14ac:dyDescent="0.3">
      <c r="A240" s="27"/>
      <c r="B240" s="27"/>
      <c r="C240" s="27"/>
      <c r="D240" s="27"/>
      <c r="E240" s="27"/>
      <c r="F240" s="27"/>
      <c r="G240" s="27"/>
      <c r="H240" s="27"/>
      <c r="I240" s="27"/>
      <c r="J240" s="27"/>
      <c r="K240" s="27"/>
      <c r="L240" s="27"/>
    </row>
    <row r="241" spans="1:12" ht="15" customHeight="1" x14ac:dyDescent="0.3">
      <c r="B241" s="27"/>
      <c r="C241" s="27"/>
      <c r="D241" s="27"/>
      <c r="E241" s="27"/>
      <c r="F241" s="27"/>
      <c r="G241" s="27"/>
      <c r="H241" s="27"/>
      <c r="I241" s="27"/>
      <c r="J241" s="27"/>
      <c r="K241" s="27"/>
      <c r="L241" s="27"/>
    </row>
    <row r="242" spans="1:12" ht="15" customHeight="1" x14ac:dyDescent="0.3">
      <c r="A242" s="27"/>
      <c r="B242" s="27"/>
      <c r="C242" s="27"/>
      <c r="D242" s="27"/>
      <c r="E242" s="27"/>
      <c r="F242" s="27"/>
      <c r="G242" s="27"/>
      <c r="H242" s="27"/>
      <c r="I242" s="27"/>
      <c r="J242" s="27"/>
      <c r="K242" s="27"/>
      <c r="L242" s="27"/>
    </row>
    <row r="243" spans="1:12" ht="15" customHeight="1" x14ac:dyDescent="0.3">
      <c r="B243" s="27"/>
      <c r="C243" s="27"/>
      <c r="D243" s="27"/>
      <c r="E243" s="27"/>
      <c r="F243" s="27"/>
      <c r="G243" s="27"/>
      <c r="H243" s="27"/>
      <c r="I243" s="27"/>
      <c r="J243" s="27"/>
      <c r="K243" s="27"/>
      <c r="L243" s="27"/>
    </row>
    <row r="244" spans="1:12" ht="15" customHeight="1" x14ac:dyDescent="0.3">
      <c r="A244" s="27"/>
      <c r="B244" s="27"/>
      <c r="C244" s="27"/>
      <c r="D244" s="27"/>
      <c r="E244" s="27"/>
      <c r="F244" s="27"/>
      <c r="G244" s="27"/>
      <c r="H244" s="27"/>
      <c r="I244" s="27"/>
      <c r="J244" s="27"/>
      <c r="K244" s="27"/>
      <c r="L244" s="27"/>
    </row>
    <row r="245" spans="1:12" ht="15" customHeight="1" x14ac:dyDescent="0.3">
      <c r="B245" s="27"/>
      <c r="C245" s="27"/>
      <c r="D245" s="27"/>
      <c r="E245" s="27"/>
      <c r="F245" s="27"/>
      <c r="G245" s="27"/>
      <c r="H245" s="27"/>
      <c r="I245" s="27"/>
      <c r="J245" s="27"/>
      <c r="K245" s="27"/>
      <c r="L245" s="27"/>
    </row>
    <row r="246" spans="1:12" ht="15" customHeight="1" x14ac:dyDescent="0.3">
      <c r="A246" s="27"/>
      <c r="B246" s="27"/>
      <c r="C246" s="27"/>
      <c r="D246" s="27"/>
      <c r="E246" s="27"/>
      <c r="F246" s="27"/>
      <c r="G246" s="27"/>
      <c r="H246" s="27"/>
      <c r="I246" s="27"/>
      <c r="J246" s="27"/>
      <c r="K246" s="27"/>
      <c r="L246" s="27"/>
    </row>
    <row r="247" spans="1:12" ht="15" customHeight="1" x14ac:dyDescent="0.3">
      <c r="B247" s="27"/>
      <c r="C247" s="27"/>
      <c r="D247" s="27"/>
      <c r="E247" s="27"/>
      <c r="F247" s="27"/>
      <c r="G247" s="27"/>
      <c r="H247" s="27"/>
      <c r="I247" s="27"/>
      <c r="J247" s="27"/>
      <c r="K247" s="27"/>
      <c r="L247" s="27"/>
    </row>
    <row r="248" spans="1:12" ht="15" customHeight="1" x14ac:dyDescent="0.3">
      <c r="A248" s="27"/>
      <c r="B248" s="27"/>
      <c r="C248" s="27"/>
      <c r="D248" s="27"/>
      <c r="E248" s="27"/>
      <c r="F248" s="27"/>
      <c r="G248" s="27"/>
      <c r="H248" s="27"/>
      <c r="I248" s="27"/>
      <c r="J248" s="27"/>
      <c r="K248" s="27"/>
      <c r="L248" s="27"/>
    </row>
    <row r="249" spans="1:12" ht="15" customHeight="1" x14ac:dyDescent="0.3">
      <c r="B249" s="27"/>
      <c r="C249" s="27"/>
      <c r="D249" s="27"/>
      <c r="E249" s="27"/>
      <c r="F249" s="27"/>
      <c r="G249" s="27"/>
      <c r="H249" s="27"/>
      <c r="I249" s="27"/>
      <c r="J249" s="27"/>
      <c r="K249" s="27"/>
      <c r="L249" s="27"/>
    </row>
    <row r="250" spans="1:12" ht="15" customHeight="1" x14ac:dyDescent="0.3">
      <c r="A250" s="27"/>
      <c r="B250" s="27"/>
      <c r="C250" s="27"/>
      <c r="D250" s="27"/>
      <c r="E250" s="27"/>
      <c r="F250" s="27"/>
      <c r="G250" s="27"/>
      <c r="H250" s="27"/>
      <c r="I250" s="27"/>
      <c r="J250" s="27"/>
      <c r="K250" s="27"/>
      <c r="L250" s="27"/>
    </row>
    <row r="251" spans="1:12" ht="15" customHeight="1" x14ac:dyDescent="0.3">
      <c r="B251" s="27"/>
      <c r="C251" s="27"/>
      <c r="D251" s="27"/>
      <c r="E251" s="27"/>
      <c r="F251" s="27"/>
      <c r="G251" s="27"/>
      <c r="H251" s="27"/>
      <c r="I251" s="27"/>
      <c r="J251" s="27"/>
      <c r="K251" s="27"/>
      <c r="L251" s="27"/>
    </row>
    <row r="252" spans="1:12" ht="15" customHeight="1" x14ac:dyDescent="0.3">
      <c r="A252" s="27"/>
      <c r="B252" s="27"/>
      <c r="C252" s="27"/>
      <c r="D252" s="27"/>
      <c r="E252" s="27"/>
      <c r="F252" s="27"/>
      <c r="G252" s="27"/>
      <c r="H252" s="27"/>
      <c r="I252" s="27"/>
      <c r="J252" s="27"/>
      <c r="K252" s="27"/>
      <c r="L252" s="27"/>
    </row>
    <row r="253" spans="1:12" ht="15" customHeight="1" x14ac:dyDescent="0.3">
      <c r="B253" s="27"/>
      <c r="C253" s="27"/>
      <c r="D253" s="27"/>
      <c r="E253" s="27"/>
      <c r="F253" s="27"/>
      <c r="G253" s="27"/>
      <c r="H253" s="27"/>
      <c r="I253" s="27"/>
      <c r="J253" s="27"/>
      <c r="K253" s="27"/>
      <c r="L253" s="27"/>
    </row>
    <row r="254" spans="1:12" ht="15" customHeight="1" x14ac:dyDescent="0.3">
      <c r="A254" s="27"/>
      <c r="B254" s="27"/>
      <c r="C254" s="27"/>
      <c r="D254" s="27"/>
      <c r="E254" s="27"/>
      <c r="F254" s="27"/>
      <c r="G254" s="27"/>
      <c r="H254" s="27"/>
      <c r="I254" s="27"/>
      <c r="J254" s="27"/>
      <c r="K254" s="27"/>
      <c r="L254" s="27"/>
    </row>
    <row r="255" spans="1:12" ht="15" customHeight="1" x14ac:dyDescent="0.3">
      <c r="B255" s="27"/>
      <c r="C255" s="27"/>
      <c r="D255" s="27"/>
      <c r="E255" s="27"/>
      <c r="F255" s="27"/>
      <c r="G255" s="27"/>
      <c r="H255" s="27"/>
      <c r="I255" s="27"/>
      <c r="J255" s="27"/>
      <c r="K255" s="27"/>
      <c r="L255" s="27"/>
    </row>
    <row r="256" spans="1:12" ht="15" customHeight="1" x14ac:dyDescent="0.3">
      <c r="A256" s="27"/>
      <c r="B256" s="27"/>
      <c r="C256" s="27"/>
      <c r="D256" s="27"/>
      <c r="E256" s="27"/>
      <c r="F256" s="27"/>
      <c r="G256" s="27"/>
      <c r="H256" s="27"/>
      <c r="I256" s="27"/>
      <c r="J256" s="27"/>
      <c r="K256" s="27"/>
      <c r="L256" s="27"/>
    </row>
    <row r="257" spans="1:12" ht="15" customHeight="1" x14ac:dyDescent="0.3">
      <c r="B257" s="27"/>
      <c r="C257" s="27"/>
      <c r="D257" s="27"/>
      <c r="E257" s="27"/>
      <c r="F257" s="27"/>
      <c r="G257" s="27"/>
      <c r="H257" s="27"/>
      <c r="I257" s="27"/>
      <c r="J257" s="27"/>
      <c r="K257" s="27"/>
      <c r="L257" s="27"/>
    </row>
    <row r="258" spans="1:12" ht="15" customHeight="1" x14ac:dyDescent="0.3">
      <c r="A258" s="27"/>
      <c r="B258" s="27"/>
      <c r="C258" s="27"/>
      <c r="D258" s="27"/>
      <c r="E258" s="27"/>
      <c r="F258" s="27"/>
      <c r="G258" s="27"/>
      <c r="H258" s="27"/>
      <c r="I258" s="27"/>
      <c r="J258" s="27"/>
      <c r="K258" s="27"/>
      <c r="L258" s="27"/>
    </row>
    <row r="259" spans="1:12" ht="15" customHeight="1" x14ac:dyDescent="0.3">
      <c r="B259" s="27"/>
      <c r="C259" s="27"/>
      <c r="D259" s="27"/>
      <c r="E259" s="27"/>
      <c r="F259" s="27"/>
      <c r="G259" s="27"/>
      <c r="H259" s="27"/>
      <c r="I259" s="27"/>
      <c r="J259" s="27"/>
      <c r="K259" s="27"/>
      <c r="L259" s="27"/>
    </row>
    <row r="260" spans="1:12" ht="15" customHeight="1" x14ac:dyDescent="0.3">
      <c r="A260" s="27"/>
      <c r="B260" s="27"/>
      <c r="C260" s="27"/>
      <c r="D260" s="27"/>
      <c r="E260" s="27"/>
      <c r="F260" s="27"/>
      <c r="G260" s="27"/>
      <c r="H260" s="27"/>
      <c r="I260" s="27"/>
      <c r="J260" s="27"/>
      <c r="K260" s="27"/>
      <c r="L260" s="27"/>
    </row>
    <row r="261" spans="1:12" ht="15" customHeight="1" x14ac:dyDescent="0.3">
      <c r="B261" s="27"/>
      <c r="C261" s="27"/>
      <c r="D261" s="27"/>
      <c r="E261" s="27"/>
      <c r="F261" s="27"/>
      <c r="G261" s="27"/>
      <c r="H261" s="27"/>
      <c r="I261" s="27"/>
      <c r="J261" s="27"/>
      <c r="K261" s="27"/>
      <c r="L261" s="27"/>
    </row>
    <row r="262" spans="1:12" ht="15" customHeight="1" x14ac:dyDescent="0.3">
      <c r="A262" s="27"/>
      <c r="B262" s="27"/>
      <c r="C262" s="27"/>
      <c r="D262" s="27"/>
      <c r="E262" s="27"/>
      <c r="F262" s="27"/>
      <c r="G262" s="27"/>
      <c r="H262" s="27"/>
      <c r="I262" s="27"/>
      <c r="J262" s="27"/>
      <c r="K262" s="27"/>
      <c r="L262" s="27"/>
    </row>
    <row r="263" spans="1:12" ht="15" customHeight="1" x14ac:dyDescent="0.3">
      <c r="B263" s="27"/>
      <c r="C263" s="27"/>
      <c r="D263" s="27"/>
      <c r="E263" s="27"/>
      <c r="F263" s="27"/>
      <c r="G263" s="27"/>
      <c r="H263" s="27"/>
      <c r="I263" s="27"/>
      <c r="J263" s="27"/>
      <c r="K263" s="27"/>
      <c r="L263" s="27"/>
    </row>
    <row r="264" spans="1:12" ht="15" customHeight="1" x14ac:dyDescent="0.3">
      <c r="A264" s="27"/>
      <c r="B264" s="27"/>
      <c r="C264" s="27"/>
      <c r="D264" s="27"/>
      <c r="E264" s="27"/>
      <c r="F264" s="27"/>
      <c r="G264" s="27"/>
      <c r="H264" s="27"/>
      <c r="I264" s="27"/>
      <c r="J264" s="27"/>
      <c r="K264" s="27"/>
      <c r="L264" s="27"/>
    </row>
    <row r="265" spans="1:12" ht="15" customHeight="1" x14ac:dyDescent="0.3">
      <c r="B265" s="27"/>
      <c r="C265" s="27"/>
      <c r="D265" s="27"/>
      <c r="E265" s="27"/>
      <c r="F265" s="27"/>
      <c r="G265" s="27"/>
      <c r="H265" s="27"/>
      <c r="I265" s="27"/>
      <c r="J265" s="27"/>
      <c r="K265" s="27"/>
      <c r="L265" s="27"/>
    </row>
    <row r="266" spans="1:12" ht="15" customHeight="1" x14ac:dyDescent="0.3">
      <c r="A266" s="27"/>
      <c r="B266" s="27"/>
      <c r="C266" s="27"/>
      <c r="D266" s="27"/>
      <c r="E266" s="27"/>
      <c r="F266" s="27"/>
      <c r="G266" s="27"/>
      <c r="H266" s="27"/>
      <c r="I266" s="27"/>
      <c r="J266" s="27"/>
      <c r="K266" s="27"/>
      <c r="L266" s="27"/>
    </row>
    <row r="267" spans="1:12" ht="15" customHeight="1" x14ac:dyDescent="0.3">
      <c r="B267" s="27"/>
      <c r="C267" s="27"/>
      <c r="D267" s="27"/>
      <c r="E267" s="27"/>
      <c r="F267" s="27"/>
      <c r="G267" s="27"/>
      <c r="H267" s="27"/>
      <c r="I267" s="27"/>
      <c r="J267" s="27"/>
      <c r="K267" s="27"/>
      <c r="L267" s="27"/>
    </row>
    <row r="268" spans="1:12" ht="15" customHeight="1" x14ac:dyDescent="0.3">
      <c r="A268" s="27"/>
      <c r="B268" s="27"/>
      <c r="C268" s="27"/>
      <c r="D268" s="27"/>
      <c r="E268" s="27"/>
      <c r="F268" s="27"/>
      <c r="G268" s="27"/>
      <c r="H268" s="27"/>
      <c r="I268" s="27"/>
      <c r="J268" s="27"/>
      <c r="K268" s="27"/>
      <c r="L268" s="27"/>
    </row>
    <row r="269" spans="1:12" ht="15" customHeight="1" x14ac:dyDescent="0.3">
      <c r="B269" s="27"/>
      <c r="C269" s="27"/>
      <c r="D269" s="27"/>
      <c r="E269" s="27"/>
      <c r="F269" s="27"/>
      <c r="G269" s="27"/>
      <c r="H269" s="27"/>
      <c r="I269" s="27"/>
      <c r="J269" s="27"/>
      <c r="K269" s="27"/>
      <c r="L269" s="27"/>
    </row>
    <row r="270" spans="1:12" ht="15" customHeight="1" x14ac:dyDescent="0.3">
      <c r="A270" s="27"/>
      <c r="B270" s="27"/>
      <c r="C270" s="27"/>
      <c r="D270" s="27"/>
      <c r="E270" s="27"/>
      <c r="F270" s="27"/>
      <c r="G270" s="27"/>
      <c r="H270" s="27"/>
      <c r="I270" s="27"/>
      <c r="J270" s="27"/>
      <c r="K270" s="27"/>
      <c r="L270" s="27"/>
    </row>
    <row r="271" spans="1:12" ht="15" customHeight="1" x14ac:dyDescent="0.3">
      <c r="B271" s="27"/>
      <c r="C271" s="27"/>
      <c r="D271" s="27"/>
      <c r="E271" s="27"/>
      <c r="F271" s="27"/>
      <c r="G271" s="27"/>
      <c r="H271" s="27"/>
      <c r="I271" s="27"/>
      <c r="J271" s="27"/>
      <c r="K271" s="27"/>
      <c r="L271" s="27"/>
    </row>
    <row r="272" spans="1:12" ht="15" customHeight="1" x14ac:dyDescent="0.3">
      <c r="A272" s="27"/>
      <c r="B272" s="27"/>
      <c r="C272" s="27"/>
      <c r="D272" s="27"/>
      <c r="E272" s="27"/>
      <c r="F272" s="27"/>
      <c r="G272" s="27"/>
      <c r="H272" s="27"/>
      <c r="I272" s="27"/>
      <c r="J272" s="27"/>
      <c r="K272" s="27"/>
      <c r="L272" s="27"/>
    </row>
    <row r="273" spans="1:12" ht="15" customHeight="1" x14ac:dyDescent="0.3">
      <c r="B273" s="27"/>
      <c r="C273" s="27"/>
      <c r="D273" s="27"/>
      <c r="E273" s="27"/>
      <c r="F273" s="27"/>
      <c r="G273" s="27"/>
      <c r="H273" s="27"/>
      <c r="I273" s="27"/>
      <c r="J273" s="27"/>
      <c r="K273" s="27"/>
      <c r="L273" s="27"/>
    </row>
    <row r="274" spans="1:12" ht="15" customHeight="1" x14ac:dyDescent="0.3">
      <c r="A274" s="27"/>
      <c r="B274" s="27"/>
      <c r="C274" s="27"/>
      <c r="D274" s="27"/>
      <c r="E274" s="27"/>
      <c r="F274" s="27"/>
      <c r="G274" s="27"/>
      <c r="H274" s="27"/>
      <c r="I274" s="27"/>
      <c r="J274" s="27"/>
      <c r="K274" s="27"/>
      <c r="L274" s="27"/>
    </row>
    <row r="275" spans="1:12" ht="15" customHeight="1" x14ac:dyDescent="0.3">
      <c r="B275" s="27"/>
      <c r="C275" s="27"/>
      <c r="D275" s="27"/>
      <c r="E275" s="27"/>
      <c r="F275" s="27"/>
      <c r="G275" s="27"/>
      <c r="H275" s="27"/>
      <c r="I275" s="27"/>
      <c r="J275" s="27"/>
      <c r="K275" s="27"/>
      <c r="L275" s="27"/>
    </row>
    <row r="276" spans="1:12" ht="15" customHeight="1" x14ac:dyDescent="0.3">
      <c r="A276" s="27"/>
      <c r="B276" s="27"/>
      <c r="C276" s="27"/>
      <c r="D276" s="27"/>
      <c r="E276" s="27"/>
      <c r="F276" s="27"/>
      <c r="G276" s="27"/>
      <c r="H276" s="27"/>
      <c r="I276" s="27"/>
      <c r="J276" s="27"/>
      <c r="K276" s="27"/>
      <c r="L276" s="27"/>
    </row>
    <row r="277" spans="1:12" ht="15" customHeight="1" x14ac:dyDescent="0.3">
      <c r="B277" s="27"/>
      <c r="C277" s="27"/>
      <c r="D277" s="27"/>
      <c r="E277" s="27"/>
      <c r="F277" s="27"/>
      <c r="G277" s="27"/>
      <c r="H277" s="27"/>
      <c r="I277" s="27"/>
      <c r="J277" s="27"/>
      <c r="K277" s="27"/>
      <c r="L277" s="27"/>
    </row>
    <row r="278" spans="1:12" ht="15" customHeight="1" x14ac:dyDescent="0.3">
      <c r="A278" s="27"/>
      <c r="B278" s="27"/>
      <c r="C278" s="27"/>
      <c r="D278" s="27"/>
      <c r="E278" s="27"/>
      <c r="F278" s="27"/>
      <c r="G278" s="27"/>
      <c r="H278" s="27"/>
      <c r="I278" s="27"/>
      <c r="J278" s="27"/>
      <c r="K278" s="27"/>
      <c r="L278" s="27"/>
    </row>
    <row r="279" spans="1:12" ht="15" customHeight="1" x14ac:dyDescent="0.3">
      <c r="B279" s="27"/>
      <c r="C279" s="27"/>
      <c r="D279" s="27"/>
      <c r="E279" s="27"/>
      <c r="F279" s="27"/>
      <c r="G279" s="27"/>
      <c r="H279" s="27"/>
      <c r="I279" s="27"/>
      <c r="J279" s="27"/>
      <c r="K279" s="27"/>
      <c r="L279" s="27"/>
    </row>
    <row r="280" spans="1:12" ht="15" customHeight="1" x14ac:dyDescent="0.3">
      <c r="A280" s="27"/>
      <c r="B280" s="27"/>
      <c r="C280" s="27"/>
      <c r="D280" s="27"/>
      <c r="E280" s="27"/>
      <c r="F280" s="27"/>
      <c r="G280" s="27"/>
      <c r="H280" s="27"/>
      <c r="I280" s="27"/>
      <c r="J280" s="27"/>
      <c r="K280" s="27"/>
      <c r="L280" s="27"/>
    </row>
    <row r="281" spans="1:12" ht="15" customHeight="1" x14ac:dyDescent="0.3">
      <c r="B281" s="27"/>
      <c r="C281" s="27"/>
      <c r="D281" s="27"/>
      <c r="E281" s="27"/>
      <c r="F281" s="27"/>
      <c r="G281" s="27"/>
      <c r="H281" s="27"/>
      <c r="I281" s="27"/>
      <c r="J281" s="27"/>
      <c r="K281" s="27"/>
      <c r="L281" s="27"/>
    </row>
    <row r="282" spans="1:12" ht="15" customHeight="1" x14ac:dyDescent="0.3">
      <c r="A282" s="27"/>
      <c r="B282" s="27"/>
      <c r="C282" s="27"/>
      <c r="D282" s="27"/>
      <c r="E282" s="27"/>
      <c r="F282" s="27"/>
      <c r="G282" s="27"/>
      <c r="H282" s="27"/>
      <c r="I282" s="27"/>
      <c r="J282" s="27"/>
      <c r="K282" s="27"/>
      <c r="L282" s="27"/>
    </row>
    <row r="283" spans="1:12" ht="15" customHeight="1" x14ac:dyDescent="0.3">
      <c r="B283" s="27"/>
      <c r="C283" s="27"/>
      <c r="D283" s="27"/>
      <c r="E283" s="27"/>
      <c r="F283" s="27"/>
      <c r="G283" s="27"/>
      <c r="H283" s="27"/>
      <c r="I283" s="27"/>
      <c r="J283" s="27"/>
      <c r="K283" s="27"/>
      <c r="L283" s="27"/>
    </row>
    <row r="284" spans="1:12" ht="15" customHeight="1" x14ac:dyDescent="0.3">
      <c r="A284" s="27"/>
      <c r="B284" s="27"/>
      <c r="C284" s="27"/>
      <c r="D284" s="27"/>
      <c r="E284" s="27"/>
      <c r="F284" s="27"/>
      <c r="G284" s="27"/>
      <c r="H284" s="27"/>
      <c r="I284" s="27"/>
      <c r="J284" s="27"/>
      <c r="K284" s="27"/>
      <c r="L284" s="27"/>
    </row>
    <row r="285" spans="1:12" ht="15" customHeight="1" x14ac:dyDescent="0.3">
      <c r="B285" s="27"/>
      <c r="C285" s="27"/>
      <c r="D285" s="27"/>
      <c r="E285" s="27"/>
      <c r="F285" s="27"/>
      <c r="G285" s="27"/>
      <c r="H285" s="27"/>
      <c r="I285" s="27"/>
      <c r="J285" s="27"/>
      <c r="K285" s="27"/>
      <c r="L285" s="27"/>
    </row>
    <row r="286" spans="1:12" ht="15" customHeight="1" x14ac:dyDescent="0.3">
      <c r="A286" s="27"/>
      <c r="B286" s="27"/>
      <c r="C286" s="27"/>
      <c r="D286" s="27"/>
      <c r="E286" s="27"/>
      <c r="F286" s="27"/>
      <c r="G286" s="27"/>
      <c r="H286" s="27"/>
      <c r="I286" s="27"/>
      <c r="J286" s="27"/>
      <c r="K286" s="27"/>
      <c r="L286" s="27"/>
    </row>
    <row r="287" spans="1:12" ht="15" customHeight="1" x14ac:dyDescent="0.3">
      <c r="B287" s="27"/>
      <c r="C287" s="27"/>
      <c r="D287" s="27"/>
      <c r="E287" s="27"/>
      <c r="F287" s="27"/>
      <c r="G287" s="27"/>
      <c r="H287" s="27"/>
      <c r="I287" s="27"/>
      <c r="J287" s="27"/>
      <c r="K287" s="27"/>
      <c r="L287" s="27"/>
    </row>
    <row r="288" spans="1:12" ht="15" customHeight="1" x14ac:dyDescent="0.3">
      <c r="A288" s="27"/>
      <c r="B288" s="27"/>
      <c r="C288" s="27"/>
      <c r="D288" s="27"/>
      <c r="E288" s="27"/>
      <c r="F288" s="27"/>
      <c r="G288" s="27"/>
      <c r="H288" s="27"/>
      <c r="I288" s="27"/>
      <c r="J288" s="27"/>
      <c r="K288" s="27"/>
      <c r="L288" s="27"/>
    </row>
    <row r="289" spans="1:12" ht="15" customHeight="1" x14ac:dyDescent="0.3">
      <c r="B289" s="27"/>
      <c r="C289" s="27"/>
      <c r="D289" s="27"/>
      <c r="E289" s="27"/>
      <c r="F289" s="27"/>
      <c r="G289" s="27"/>
      <c r="H289" s="27"/>
      <c r="I289" s="27"/>
      <c r="J289" s="27"/>
      <c r="K289" s="27"/>
      <c r="L289" s="27"/>
    </row>
    <row r="290" spans="1:12" ht="15" customHeight="1" x14ac:dyDescent="0.3">
      <c r="A290" s="27"/>
      <c r="B290" s="27"/>
      <c r="C290" s="27"/>
      <c r="D290" s="27"/>
      <c r="E290" s="27"/>
      <c r="F290" s="27"/>
      <c r="G290" s="27"/>
      <c r="H290" s="27"/>
      <c r="I290" s="27"/>
      <c r="J290" s="27"/>
      <c r="K290" s="27"/>
      <c r="L290" s="27"/>
    </row>
    <row r="291" spans="1:12" ht="15" customHeight="1" x14ac:dyDescent="0.3">
      <c r="B291" s="27"/>
      <c r="C291" s="27"/>
      <c r="D291" s="27"/>
      <c r="E291" s="27"/>
      <c r="F291" s="27"/>
      <c r="G291" s="27"/>
      <c r="H291" s="27"/>
      <c r="I291" s="27"/>
      <c r="J291" s="27"/>
      <c r="K291" s="27"/>
      <c r="L291" s="27"/>
    </row>
    <row r="292" spans="1:12" ht="15" customHeight="1" x14ac:dyDescent="0.3">
      <c r="A292" s="27"/>
      <c r="B292" s="27"/>
      <c r="C292" s="27"/>
      <c r="D292" s="27"/>
      <c r="E292" s="27"/>
      <c r="F292" s="27"/>
      <c r="G292" s="27"/>
      <c r="H292" s="27"/>
      <c r="I292" s="27"/>
      <c r="J292" s="27"/>
      <c r="K292" s="27"/>
      <c r="L292" s="27"/>
    </row>
    <row r="293" spans="1:12" ht="15" customHeight="1" x14ac:dyDescent="0.3">
      <c r="B293" s="27"/>
      <c r="C293" s="27"/>
      <c r="D293" s="27"/>
      <c r="E293" s="27"/>
      <c r="F293" s="27"/>
      <c r="G293" s="27"/>
      <c r="H293" s="27"/>
      <c r="I293" s="27"/>
      <c r="J293" s="27"/>
      <c r="K293" s="27"/>
      <c r="L293" s="27"/>
    </row>
    <row r="294" spans="1:12" ht="15" customHeight="1" x14ac:dyDescent="0.3">
      <c r="A294" s="27"/>
      <c r="B294" s="27"/>
      <c r="C294" s="27"/>
      <c r="D294" s="27"/>
      <c r="E294" s="27"/>
      <c r="F294" s="27"/>
      <c r="G294" s="27"/>
      <c r="H294" s="27"/>
      <c r="I294" s="27"/>
      <c r="J294" s="27"/>
      <c r="K294" s="27"/>
      <c r="L294" s="27"/>
    </row>
    <row r="295" spans="1:12" ht="15" customHeight="1" x14ac:dyDescent="0.3">
      <c r="B295" s="27"/>
      <c r="C295" s="27"/>
      <c r="D295" s="27"/>
      <c r="E295" s="27"/>
      <c r="F295" s="27"/>
      <c r="G295" s="27"/>
      <c r="H295" s="27"/>
      <c r="I295" s="27"/>
      <c r="J295" s="27"/>
      <c r="K295" s="27"/>
      <c r="L295" s="27"/>
    </row>
    <row r="296" spans="1:12" ht="15" customHeight="1" x14ac:dyDescent="0.3">
      <c r="A296" s="27"/>
      <c r="B296" s="27"/>
      <c r="C296" s="27"/>
      <c r="D296" s="27"/>
      <c r="E296" s="27"/>
      <c r="F296" s="27"/>
      <c r="G296" s="27"/>
      <c r="H296" s="27"/>
      <c r="I296" s="27"/>
      <c r="J296" s="27"/>
      <c r="K296" s="27"/>
      <c r="L296" s="27"/>
    </row>
    <row r="297" spans="1:12" ht="15" customHeight="1" x14ac:dyDescent="0.3">
      <c r="B297" s="27"/>
      <c r="C297" s="27"/>
      <c r="D297" s="27"/>
      <c r="E297" s="27"/>
      <c r="F297" s="27"/>
      <c r="G297" s="27"/>
      <c r="H297" s="27"/>
      <c r="I297" s="27"/>
      <c r="J297" s="27"/>
      <c r="K297" s="27"/>
      <c r="L297" s="27"/>
    </row>
    <row r="298" spans="1:12" ht="15" customHeight="1" x14ac:dyDescent="0.3">
      <c r="A298" s="27"/>
      <c r="B298" s="27"/>
      <c r="C298" s="27"/>
      <c r="D298" s="27"/>
      <c r="E298" s="27"/>
      <c r="F298" s="27"/>
      <c r="G298" s="27"/>
      <c r="H298" s="27"/>
      <c r="I298" s="27"/>
      <c r="J298" s="27"/>
      <c r="K298" s="27"/>
      <c r="L298" s="27"/>
    </row>
    <row r="299" spans="1:12" ht="15" customHeight="1" x14ac:dyDescent="0.3">
      <c r="B299" s="27"/>
      <c r="C299" s="27"/>
      <c r="D299" s="27"/>
      <c r="E299" s="27"/>
      <c r="F299" s="27"/>
      <c r="G299" s="27"/>
      <c r="H299" s="27"/>
      <c r="I299" s="27"/>
      <c r="J299" s="27"/>
      <c r="K299" s="27"/>
      <c r="L299" s="27"/>
    </row>
    <row r="300" spans="1:12" ht="15" customHeight="1" x14ac:dyDescent="0.3">
      <c r="A300" s="27"/>
      <c r="B300" s="27"/>
      <c r="C300" s="27"/>
      <c r="D300" s="27"/>
      <c r="E300" s="27"/>
      <c r="F300" s="27"/>
      <c r="G300" s="27"/>
      <c r="H300" s="27"/>
      <c r="I300" s="27"/>
      <c r="J300" s="27"/>
      <c r="K300" s="27"/>
      <c r="L300" s="27"/>
    </row>
    <row r="301" spans="1:12" ht="15" customHeight="1" x14ac:dyDescent="0.3">
      <c r="B301" s="27"/>
      <c r="C301" s="27"/>
      <c r="D301" s="27"/>
      <c r="E301" s="27"/>
      <c r="F301" s="27"/>
      <c r="G301" s="27"/>
      <c r="H301" s="27"/>
      <c r="I301" s="27"/>
      <c r="J301" s="27"/>
      <c r="K301" s="27"/>
      <c r="L301" s="27"/>
    </row>
    <row r="302" spans="1:12" ht="15" customHeight="1" x14ac:dyDescent="0.3">
      <c r="A302" s="27"/>
      <c r="B302" s="27"/>
      <c r="C302" s="27"/>
      <c r="D302" s="27"/>
      <c r="E302" s="27"/>
      <c r="F302" s="27"/>
      <c r="G302" s="27"/>
      <c r="H302" s="27"/>
      <c r="I302" s="27"/>
      <c r="J302" s="27"/>
      <c r="K302" s="27"/>
      <c r="L302" s="27"/>
    </row>
    <row r="303" spans="1:12" ht="15" customHeight="1" x14ac:dyDescent="0.3">
      <c r="B303" s="27"/>
      <c r="C303" s="27"/>
      <c r="D303" s="27"/>
      <c r="E303" s="27"/>
      <c r="F303" s="27"/>
      <c r="G303" s="27"/>
      <c r="H303" s="27"/>
      <c r="I303" s="27"/>
      <c r="J303" s="27"/>
      <c r="K303" s="27"/>
      <c r="L303" s="27"/>
    </row>
    <row r="304" spans="1:12" ht="15" customHeight="1" x14ac:dyDescent="0.3">
      <c r="A304" s="27"/>
      <c r="B304" s="27"/>
      <c r="C304" s="27"/>
      <c r="D304" s="27"/>
      <c r="E304" s="27"/>
      <c r="F304" s="27"/>
      <c r="G304" s="27"/>
      <c r="H304" s="27"/>
      <c r="I304" s="27"/>
      <c r="J304" s="27"/>
      <c r="K304" s="27"/>
      <c r="L304" s="27"/>
    </row>
    <row r="305" spans="1:12" ht="15" customHeight="1" x14ac:dyDescent="0.3">
      <c r="B305" s="27"/>
      <c r="C305" s="27"/>
      <c r="D305" s="27"/>
      <c r="E305" s="27"/>
      <c r="F305" s="27"/>
      <c r="G305" s="27"/>
      <c r="H305" s="27"/>
      <c r="I305" s="27"/>
      <c r="J305" s="27"/>
      <c r="K305" s="27"/>
      <c r="L305" s="27"/>
    </row>
    <row r="306" spans="1:12" ht="15" customHeight="1" x14ac:dyDescent="0.3">
      <c r="A306" s="27"/>
      <c r="B306" s="27"/>
      <c r="C306" s="27"/>
      <c r="D306" s="27"/>
      <c r="E306" s="27"/>
      <c r="F306" s="27"/>
      <c r="G306" s="27"/>
      <c r="H306" s="27"/>
      <c r="I306" s="27"/>
      <c r="J306" s="27"/>
      <c r="K306" s="27"/>
      <c r="L306" s="27"/>
    </row>
    <row r="307" spans="1:12" ht="15" customHeight="1" x14ac:dyDescent="0.3">
      <c r="B307" s="27"/>
      <c r="C307" s="27"/>
      <c r="D307" s="27"/>
      <c r="E307" s="27"/>
      <c r="F307" s="27"/>
      <c r="G307" s="27"/>
      <c r="H307" s="27"/>
      <c r="I307" s="27"/>
      <c r="J307" s="27"/>
      <c r="K307" s="27"/>
      <c r="L307" s="27"/>
    </row>
    <row r="308" spans="1:12" ht="15" customHeight="1" x14ac:dyDescent="0.3">
      <c r="A308" s="27"/>
      <c r="B308" s="27"/>
      <c r="C308" s="27"/>
      <c r="D308" s="27"/>
      <c r="E308" s="27"/>
      <c r="F308" s="27"/>
      <c r="G308" s="27"/>
      <c r="H308" s="27"/>
      <c r="I308" s="27"/>
      <c r="J308" s="27"/>
      <c r="K308" s="27"/>
      <c r="L308" s="27"/>
    </row>
    <row r="309" spans="1:12" ht="15" customHeight="1" x14ac:dyDescent="0.3">
      <c r="B309" s="27"/>
      <c r="C309" s="27"/>
      <c r="D309" s="27"/>
      <c r="E309" s="27"/>
      <c r="F309" s="27"/>
      <c r="G309" s="27"/>
      <c r="H309" s="27"/>
      <c r="I309" s="27"/>
      <c r="J309" s="27"/>
      <c r="K309" s="27"/>
      <c r="L309" s="27"/>
    </row>
    <row r="310" spans="1:12" ht="15" customHeight="1" x14ac:dyDescent="0.3">
      <c r="A310" s="27"/>
      <c r="B310" s="27"/>
      <c r="C310" s="27"/>
      <c r="D310" s="27"/>
      <c r="E310" s="27"/>
      <c r="F310" s="27"/>
      <c r="G310" s="27"/>
      <c r="H310" s="27"/>
      <c r="I310" s="27"/>
      <c r="J310" s="27"/>
      <c r="K310" s="27"/>
      <c r="L310" s="27"/>
    </row>
    <row r="311" spans="1:12" ht="15" customHeight="1" x14ac:dyDescent="0.3">
      <c r="B311" s="27"/>
      <c r="C311" s="27"/>
      <c r="D311" s="27"/>
      <c r="E311" s="27"/>
      <c r="F311" s="27"/>
      <c r="G311" s="27"/>
      <c r="H311" s="27"/>
      <c r="I311" s="27"/>
      <c r="J311" s="27"/>
      <c r="K311" s="27"/>
      <c r="L311" s="27"/>
    </row>
    <row r="312" spans="1:12" ht="15" customHeight="1" x14ac:dyDescent="0.3">
      <c r="A312" s="27"/>
      <c r="B312" s="27"/>
      <c r="C312" s="27"/>
      <c r="D312" s="27"/>
      <c r="E312" s="27"/>
      <c r="F312" s="27"/>
      <c r="G312" s="27"/>
      <c r="H312" s="27"/>
      <c r="I312" s="27"/>
      <c r="J312" s="27"/>
      <c r="K312" s="27"/>
      <c r="L312" s="27"/>
    </row>
    <row r="313" spans="1:12" ht="15" customHeight="1" x14ac:dyDescent="0.3">
      <c r="B313" s="27"/>
      <c r="C313" s="27"/>
      <c r="D313" s="27"/>
      <c r="E313" s="27"/>
      <c r="F313" s="27"/>
      <c r="G313" s="27"/>
      <c r="H313" s="27"/>
      <c r="I313" s="27"/>
      <c r="J313" s="27"/>
      <c r="K313" s="27"/>
      <c r="L313" s="27"/>
    </row>
    <row r="314" spans="1:12" ht="15" customHeight="1" x14ac:dyDescent="0.3">
      <c r="A314" s="27"/>
      <c r="B314" s="27"/>
      <c r="C314" s="27"/>
      <c r="D314" s="27"/>
      <c r="E314" s="27"/>
      <c r="F314" s="27"/>
      <c r="G314" s="27"/>
      <c r="H314" s="27"/>
      <c r="I314" s="27"/>
      <c r="J314" s="27"/>
      <c r="K314" s="27"/>
      <c r="L314" s="27"/>
    </row>
    <row r="315" spans="1:12" ht="15" customHeight="1" x14ac:dyDescent="0.3">
      <c r="B315" s="27"/>
      <c r="C315" s="27"/>
      <c r="D315" s="27"/>
      <c r="E315" s="27"/>
      <c r="F315" s="27"/>
      <c r="G315" s="27"/>
      <c r="H315" s="27"/>
      <c r="I315" s="27"/>
      <c r="J315" s="27"/>
      <c r="K315" s="27"/>
      <c r="L315" s="27"/>
    </row>
    <row r="316" spans="1:12" ht="15" customHeight="1" x14ac:dyDescent="0.3">
      <c r="A316" s="27"/>
      <c r="B316" s="27"/>
      <c r="C316" s="27"/>
      <c r="D316" s="27"/>
      <c r="E316" s="27"/>
      <c r="F316" s="27"/>
      <c r="G316" s="27"/>
      <c r="H316" s="27"/>
      <c r="I316" s="27"/>
      <c r="J316" s="27"/>
      <c r="K316" s="27"/>
      <c r="L316" s="27"/>
    </row>
    <row r="317" spans="1:12" ht="15" customHeight="1" x14ac:dyDescent="0.3">
      <c r="B317" s="27"/>
      <c r="C317" s="27"/>
      <c r="D317" s="27"/>
      <c r="E317" s="27"/>
      <c r="F317" s="27"/>
      <c r="G317" s="27"/>
      <c r="H317" s="27"/>
      <c r="I317" s="27"/>
      <c r="J317" s="27"/>
      <c r="K317" s="27"/>
      <c r="L317" s="27"/>
    </row>
    <row r="318" spans="1:12" ht="15" customHeight="1" x14ac:dyDescent="0.3">
      <c r="A318" s="27"/>
      <c r="B318" s="27"/>
      <c r="C318" s="27"/>
      <c r="D318" s="27"/>
      <c r="E318" s="27"/>
      <c r="F318" s="27"/>
      <c r="G318" s="27"/>
      <c r="H318" s="27"/>
      <c r="I318" s="27"/>
      <c r="J318" s="27"/>
      <c r="K318" s="27"/>
      <c r="L318" s="27"/>
    </row>
    <row r="319" spans="1:12" ht="15" customHeight="1" x14ac:dyDescent="0.3">
      <c r="B319" s="27"/>
      <c r="C319" s="27"/>
      <c r="D319" s="27"/>
      <c r="E319" s="27"/>
      <c r="F319" s="27"/>
      <c r="G319" s="27"/>
      <c r="H319" s="27"/>
      <c r="I319" s="27"/>
      <c r="J319" s="27"/>
      <c r="K319" s="27"/>
      <c r="L319" s="27"/>
    </row>
    <row r="320" spans="1:12" ht="15" customHeight="1" x14ac:dyDescent="0.3">
      <c r="A320" s="27"/>
      <c r="B320" s="27"/>
      <c r="C320" s="27"/>
      <c r="D320" s="27"/>
      <c r="E320" s="27"/>
      <c r="F320" s="27"/>
      <c r="G320" s="27"/>
      <c r="H320" s="27"/>
      <c r="I320" s="27"/>
      <c r="J320" s="27"/>
      <c r="K320" s="27"/>
      <c r="L320" s="27"/>
    </row>
    <row r="321" spans="1:12" ht="15" customHeight="1" x14ac:dyDescent="0.3">
      <c r="B321" s="27"/>
      <c r="C321" s="27"/>
      <c r="D321" s="27"/>
      <c r="E321" s="27"/>
      <c r="F321" s="27"/>
      <c r="G321" s="27"/>
      <c r="H321" s="27"/>
      <c r="I321" s="27"/>
      <c r="J321" s="27"/>
      <c r="K321" s="27"/>
      <c r="L321" s="27"/>
    </row>
    <row r="322" spans="1:12" ht="15" customHeight="1" x14ac:dyDescent="0.3">
      <c r="A322" s="27"/>
      <c r="B322" s="27"/>
      <c r="C322" s="27"/>
      <c r="D322" s="27"/>
      <c r="E322" s="27"/>
      <c r="F322" s="27"/>
      <c r="G322" s="27"/>
      <c r="H322" s="27"/>
      <c r="I322" s="27"/>
      <c r="J322" s="27"/>
      <c r="K322" s="27"/>
      <c r="L322" s="27"/>
    </row>
    <row r="323" spans="1:12" ht="15" customHeight="1" x14ac:dyDescent="0.3">
      <c r="B323" s="27"/>
      <c r="C323" s="27"/>
      <c r="D323" s="27"/>
      <c r="E323" s="27"/>
      <c r="F323" s="27"/>
      <c r="G323" s="27"/>
      <c r="H323" s="27"/>
      <c r="I323" s="27"/>
      <c r="J323" s="27"/>
      <c r="K323" s="27"/>
      <c r="L323" s="27"/>
    </row>
    <row r="324" spans="1:12" ht="15" customHeight="1" x14ac:dyDescent="0.3">
      <c r="A324" s="27"/>
      <c r="B324" s="27"/>
      <c r="C324" s="27"/>
      <c r="D324" s="27"/>
      <c r="E324" s="27"/>
      <c r="F324" s="27"/>
      <c r="G324" s="27"/>
      <c r="H324" s="27"/>
      <c r="I324" s="27"/>
      <c r="J324" s="27"/>
      <c r="K324" s="27"/>
      <c r="L324" s="27"/>
    </row>
    <row r="325" spans="1:12" ht="15" customHeight="1" x14ac:dyDescent="0.3">
      <c r="B325" s="27"/>
      <c r="C325" s="27"/>
      <c r="D325" s="27"/>
      <c r="E325" s="27"/>
      <c r="F325" s="27"/>
      <c r="G325" s="27"/>
      <c r="H325" s="27"/>
      <c r="I325" s="27"/>
      <c r="J325" s="27"/>
      <c r="K325" s="27"/>
      <c r="L325" s="27"/>
    </row>
    <row r="326" spans="1:12" ht="15" customHeight="1" x14ac:dyDescent="0.3">
      <c r="A326" s="27"/>
      <c r="B326" s="27"/>
      <c r="C326" s="27"/>
      <c r="D326" s="27"/>
      <c r="E326" s="27"/>
      <c r="F326" s="27"/>
      <c r="G326" s="27"/>
      <c r="H326" s="27"/>
      <c r="I326" s="27"/>
      <c r="J326" s="27"/>
      <c r="K326" s="27"/>
      <c r="L326" s="27"/>
    </row>
    <row r="327" spans="1:12" ht="15" customHeight="1" x14ac:dyDescent="0.3">
      <c r="B327" s="27"/>
      <c r="C327" s="27"/>
      <c r="D327" s="27"/>
      <c r="E327" s="27"/>
      <c r="F327" s="27"/>
      <c r="G327" s="27"/>
      <c r="H327" s="27"/>
      <c r="I327" s="27"/>
      <c r="J327" s="27"/>
      <c r="K327" s="27"/>
      <c r="L327" s="27"/>
    </row>
    <row r="328" spans="1:12" ht="15" customHeight="1" x14ac:dyDescent="0.3">
      <c r="A328" s="27"/>
      <c r="B328" s="27"/>
      <c r="C328" s="27"/>
      <c r="D328" s="27"/>
      <c r="E328" s="27"/>
      <c r="F328" s="27"/>
      <c r="G328" s="27"/>
      <c r="H328" s="27"/>
      <c r="I328" s="27"/>
      <c r="J328" s="27"/>
      <c r="K328" s="27"/>
      <c r="L328" s="27"/>
    </row>
    <row r="329" spans="1:12" ht="15" customHeight="1" x14ac:dyDescent="0.3">
      <c r="B329" s="27"/>
      <c r="C329" s="27"/>
      <c r="D329" s="27"/>
      <c r="E329" s="27"/>
      <c r="F329" s="27"/>
      <c r="G329" s="27"/>
      <c r="H329" s="27"/>
      <c r="I329" s="27"/>
      <c r="J329" s="27"/>
      <c r="K329" s="27"/>
      <c r="L329" s="27"/>
    </row>
    <row r="330" spans="1:12" ht="15" customHeight="1" x14ac:dyDescent="0.3">
      <c r="A330" s="27"/>
      <c r="B330" s="27"/>
      <c r="C330" s="27"/>
      <c r="D330" s="27"/>
      <c r="E330" s="27"/>
      <c r="F330" s="27"/>
      <c r="G330" s="27"/>
      <c r="H330" s="27"/>
      <c r="I330" s="27"/>
      <c r="J330" s="27"/>
      <c r="K330" s="27"/>
      <c r="L330" s="27"/>
    </row>
    <row r="331" spans="1:12" ht="15" customHeight="1" x14ac:dyDescent="0.3">
      <c r="B331" s="27"/>
      <c r="C331" s="27"/>
      <c r="D331" s="27"/>
      <c r="E331" s="27"/>
      <c r="F331" s="27"/>
      <c r="G331" s="27"/>
      <c r="H331" s="27"/>
      <c r="I331" s="27"/>
      <c r="J331" s="27"/>
      <c r="K331" s="27"/>
      <c r="L331" s="27"/>
    </row>
    <row r="332" spans="1:12" ht="15" customHeight="1" x14ac:dyDescent="0.3">
      <c r="A332" s="27"/>
      <c r="B332" s="27"/>
      <c r="C332" s="27"/>
      <c r="D332" s="27"/>
      <c r="E332" s="27"/>
      <c r="F332" s="27"/>
      <c r="G332" s="27"/>
      <c r="H332" s="27"/>
      <c r="I332" s="27"/>
      <c r="J332" s="27"/>
      <c r="K332" s="27"/>
      <c r="L332" s="27"/>
    </row>
    <row r="333" spans="1:12" ht="15" customHeight="1" x14ac:dyDescent="0.3">
      <c r="B333" s="27"/>
      <c r="C333" s="27"/>
      <c r="D333" s="27"/>
      <c r="E333" s="27"/>
      <c r="F333" s="27"/>
      <c r="G333" s="27"/>
      <c r="H333" s="27"/>
      <c r="I333" s="27"/>
      <c r="J333" s="27"/>
      <c r="K333" s="27"/>
      <c r="L333" s="27"/>
    </row>
    <row r="334" spans="1:12" ht="15" customHeight="1" x14ac:dyDescent="0.3">
      <c r="A334" s="27"/>
      <c r="B334" s="27"/>
      <c r="C334" s="27"/>
      <c r="D334" s="27"/>
      <c r="E334" s="27"/>
      <c r="F334" s="27"/>
      <c r="G334" s="27"/>
      <c r="H334" s="27"/>
      <c r="I334" s="27"/>
      <c r="J334" s="27"/>
      <c r="K334" s="27"/>
      <c r="L334" s="27"/>
    </row>
    <row r="335" spans="1:12" ht="15" customHeight="1" x14ac:dyDescent="0.3">
      <c r="B335" s="27"/>
      <c r="C335" s="27"/>
      <c r="D335" s="27"/>
      <c r="E335" s="27"/>
      <c r="F335" s="27"/>
      <c r="G335" s="27"/>
      <c r="H335" s="27"/>
      <c r="I335" s="27"/>
      <c r="J335" s="27"/>
      <c r="K335" s="27"/>
      <c r="L335" s="27"/>
    </row>
    <row r="336" spans="1:12" ht="15" customHeight="1" x14ac:dyDescent="0.3">
      <c r="A336" s="27"/>
      <c r="B336" s="27"/>
      <c r="C336" s="27"/>
      <c r="D336" s="27"/>
      <c r="E336" s="27"/>
      <c r="F336" s="27"/>
      <c r="G336" s="27"/>
      <c r="H336" s="27"/>
      <c r="I336" s="27"/>
      <c r="J336" s="27"/>
      <c r="K336" s="27"/>
      <c r="L336" s="27"/>
    </row>
    <row r="337" spans="1:12" ht="15" customHeight="1" x14ac:dyDescent="0.3">
      <c r="B337" s="27"/>
      <c r="C337" s="27"/>
      <c r="D337" s="27"/>
      <c r="E337" s="27"/>
      <c r="F337" s="27"/>
      <c r="G337" s="27"/>
      <c r="H337" s="27"/>
      <c r="I337" s="27"/>
      <c r="J337" s="27"/>
      <c r="K337" s="27"/>
      <c r="L337" s="27"/>
    </row>
    <row r="338" spans="1:12" ht="15" customHeight="1" x14ac:dyDescent="0.3">
      <c r="A338" s="27"/>
      <c r="B338" s="27"/>
      <c r="C338" s="27"/>
      <c r="D338" s="27"/>
      <c r="E338" s="27"/>
      <c r="F338" s="27"/>
      <c r="G338" s="27"/>
      <c r="H338" s="27"/>
      <c r="I338" s="27"/>
      <c r="J338" s="27"/>
      <c r="K338" s="27"/>
      <c r="L338" s="27"/>
    </row>
    <row r="339" spans="1:12" ht="15" customHeight="1" x14ac:dyDescent="0.3">
      <c r="B339" s="27"/>
      <c r="C339" s="27"/>
      <c r="D339" s="27"/>
      <c r="E339" s="27"/>
      <c r="F339" s="27"/>
      <c r="G339" s="27"/>
      <c r="H339" s="27"/>
      <c r="I339" s="27"/>
      <c r="J339" s="27"/>
      <c r="K339" s="27"/>
      <c r="L339" s="27"/>
    </row>
    <row r="340" spans="1:12" ht="15" customHeight="1" x14ac:dyDescent="0.3">
      <c r="A340" s="27"/>
      <c r="B340" s="27"/>
      <c r="C340" s="27"/>
      <c r="D340" s="27"/>
      <c r="E340" s="27"/>
      <c r="F340" s="27"/>
      <c r="G340" s="27"/>
      <c r="H340" s="27"/>
      <c r="I340" s="27"/>
      <c r="J340" s="27"/>
      <c r="K340" s="27"/>
      <c r="L340" s="27"/>
    </row>
    <row r="341" spans="1:12" ht="15" customHeight="1" x14ac:dyDescent="0.3">
      <c r="B341" s="27"/>
      <c r="C341" s="27"/>
      <c r="D341" s="27"/>
      <c r="E341" s="27"/>
      <c r="F341" s="27"/>
      <c r="G341" s="27"/>
      <c r="H341" s="27"/>
      <c r="I341" s="27"/>
      <c r="J341" s="27"/>
      <c r="K341" s="27"/>
      <c r="L341" s="27"/>
    </row>
    <row r="342" spans="1:12" ht="15" customHeight="1" x14ac:dyDescent="0.3">
      <c r="A342" s="27"/>
      <c r="B342" s="27"/>
      <c r="C342" s="27"/>
      <c r="D342" s="27"/>
      <c r="E342" s="27"/>
      <c r="F342" s="27"/>
      <c r="G342" s="27"/>
      <c r="H342" s="27"/>
      <c r="I342" s="27"/>
      <c r="J342" s="27"/>
      <c r="K342" s="27"/>
      <c r="L342" s="27"/>
    </row>
    <row r="343" spans="1:12" ht="15" customHeight="1" x14ac:dyDescent="0.3">
      <c r="B343" s="27"/>
      <c r="C343" s="27"/>
      <c r="D343" s="27"/>
      <c r="E343" s="27"/>
      <c r="F343" s="27"/>
      <c r="G343" s="27"/>
      <c r="H343" s="27"/>
      <c r="I343" s="27"/>
      <c r="J343" s="27"/>
      <c r="K343" s="27"/>
      <c r="L343" s="27"/>
    </row>
    <row r="344" spans="1:12" ht="15" customHeight="1" x14ac:dyDescent="0.3">
      <c r="A344" s="27"/>
      <c r="B344" s="27"/>
      <c r="C344" s="27"/>
      <c r="D344" s="27"/>
      <c r="E344" s="27"/>
      <c r="F344" s="27"/>
      <c r="G344" s="27"/>
      <c r="H344" s="27"/>
      <c r="I344" s="27"/>
      <c r="J344" s="27"/>
      <c r="K344" s="27"/>
      <c r="L344" s="27"/>
    </row>
    <row r="345" spans="1:12" ht="15" customHeight="1" x14ac:dyDescent="0.3">
      <c r="B345" s="27"/>
      <c r="C345" s="27"/>
      <c r="D345" s="27"/>
      <c r="E345" s="27"/>
      <c r="F345" s="27"/>
      <c r="G345" s="27"/>
      <c r="H345" s="27"/>
      <c r="I345" s="27"/>
      <c r="J345" s="27"/>
      <c r="K345" s="27"/>
      <c r="L345" s="27"/>
    </row>
    <row r="346" spans="1:12" ht="15" customHeight="1" x14ac:dyDescent="0.3">
      <c r="A346" s="27"/>
      <c r="B346" s="27"/>
      <c r="C346" s="27"/>
      <c r="D346" s="27"/>
      <c r="E346" s="27"/>
      <c r="F346" s="27"/>
      <c r="G346" s="27"/>
      <c r="H346" s="27"/>
      <c r="I346" s="27"/>
      <c r="J346" s="27"/>
      <c r="K346" s="27"/>
      <c r="L346" s="27"/>
    </row>
    <row r="347" spans="1:12" ht="15" customHeight="1" x14ac:dyDescent="0.3">
      <c r="B347" s="27"/>
      <c r="C347" s="27"/>
      <c r="D347" s="27"/>
      <c r="E347" s="27"/>
      <c r="F347" s="27"/>
      <c r="G347" s="27"/>
      <c r="H347" s="27"/>
      <c r="I347" s="27"/>
      <c r="J347" s="27"/>
      <c r="K347" s="27"/>
      <c r="L347" s="27"/>
    </row>
    <row r="348" spans="1:12" ht="15" customHeight="1" x14ac:dyDescent="0.3">
      <c r="A348" s="27"/>
      <c r="B348" s="27"/>
      <c r="C348" s="27"/>
      <c r="D348" s="27"/>
      <c r="E348" s="27"/>
      <c r="F348" s="27"/>
      <c r="G348" s="27"/>
      <c r="H348" s="27"/>
      <c r="I348" s="27"/>
      <c r="J348" s="27"/>
      <c r="K348" s="27"/>
      <c r="L348" s="27"/>
    </row>
    <row r="349" spans="1:12" ht="15" customHeight="1" x14ac:dyDescent="0.3">
      <c r="B349" s="27"/>
      <c r="C349" s="27"/>
      <c r="D349" s="27"/>
      <c r="E349" s="27"/>
      <c r="F349" s="27"/>
      <c r="G349" s="27"/>
      <c r="H349" s="27"/>
      <c r="I349" s="27"/>
      <c r="J349" s="27"/>
      <c r="K349" s="27"/>
      <c r="L349" s="27"/>
    </row>
    <row r="350" spans="1:12" ht="15" customHeight="1" x14ac:dyDescent="0.3">
      <c r="A350" s="27"/>
      <c r="B350" s="27"/>
      <c r="C350" s="27"/>
      <c r="D350" s="27"/>
      <c r="E350" s="27"/>
      <c r="F350" s="27"/>
      <c r="G350" s="27"/>
      <c r="H350" s="27"/>
      <c r="I350" s="27"/>
      <c r="J350" s="27"/>
      <c r="K350" s="27"/>
      <c r="L350" s="27"/>
    </row>
    <row r="351" spans="1:12" ht="15" customHeight="1" x14ac:dyDescent="0.3">
      <c r="B351" s="27"/>
      <c r="C351" s="27"/>
      <c r="D351" s="27"/>
      <c r="E351" s="27"/>
      <c r="F351" s="27"/>
      <c r="G351" s="27"/>
      <c r="H351" s="27"/>
      <c r="I351" s="27"/>
      <c r="J351" s="27"/>
      <c r="K351" s="27"/>
      <c r="L351" s="27"/>
    </row>
    <row r="352" spans="1:12" ht="15" customHeight="1" x14ac:dyDescent="0.3">
      <c r="A352" s="27"/>
      <c r="B352" s="27"/>
      <c r="C352" s="27"/>
      <c r="D352" s="27"/>
      <c r="E352" s="27"/>
      <c r="F352" s="27"/>
      <c r="G352" s="27"/>
      <c r="H352" s="27"/>
      <c r="I352" s="27"/>
      <c r="J352" s="27"/>
      <c r="K352" s="27"/>
      <c r="L352" s="27"/>
    </row>
    <row r="353" spans="1:12" ht="15" customHeight="1" x14ac:dyDescent="0.3">
      <c r="B353" s="27"/>
      <c r="C353" s="27"/>
      <c r="D353" s="27"/>
      <c r="E353" s="27"/>
      <c r="F353" s="27"/>
      <c r="G353" s="27"/>
      <c r="H353" s="27"/>
      <c r="I353" s="27"/>
      <c r="J353" s="27"/>
      <c r="K353" s="27"/>
      <c r="L353" s="27"/>
    </row>
    <row r="354" spans="1:12" ht="15" customHeight="1" x14ac:dyDescent="0.3">
      <c r="A354" s="27"/>
      <c r="B354" s="27"/>
      <c r="C354" s="27"/>
      <c r="D354" s="27"/>
      <c r="E354" s="27"/>
      <c r="F354" s="27"/>
      <c r="G354" s="27"/>
      <c r="H354" s="27"/>
      <c r="I354" s="27"/>
      <c r="J354" s="27"/>
      <c r="K354" s="27"/>
      <c r="L354" s="27"/>
    </row>
    <row r="355" spans="1:12" ht="15" customHeight="1" x14ac:dyDescent="0.3">
      <c r="B355" s="27"/>
      <c r="C355" s="27"/>
      <c r="D355" s="27"/>
      <c r="E355" s="27"/>
      <c r="F355" s="27"/>
      <c r="G355" s="27"/>
      <c r="H355" s="27"/>
      <c r="I355" s="27"/>
      <c r="J355" s="27"/>
      <c r="K355" s="27"/>
      <c r="L355" s="27"/>
    </row>
    <row r="356" spans="1:12" ht="15" customHeight="1" x14ac:dyDescent="0.3">
      <c r="A356" s="27"/>
      <c r="B356" s="27"/>
      <c r="C356" s="27"/>
      <c r="D356" s="27"/>
      <c r="E356" s="27"/>
      <c r="F356" s="27"/>
      <c r="G356" s="27"/>
      <c r="H356" s="27"/>
      <c r="I356" s="27"/>
      <c r="J356" s="27"/>
      <c r="K356" s="27"/>
      <c r="L356" s="27"/>
    </row>
    <row r="357" spans="1:12" ht="15" customHeight="1" x14ac:dyDescent="0.3">
      <c r="B357" s="27"/>
      <c r="C357" s="27"/>
      <c r="D357" s="27"/>
      <c r="E357" s="27"/>
      <c r="F357" s="27"/>
      <c r="G357" s="27"/>
      <c r="H357" s="27"/>
      <c r="I357" s="27"/>
      <c r="J357" s="27"/>
      <c r="K357" s="27"/>
      <c r="L357" s="27"/>
    </row>
    <row r="358" spans="1:12" ht="15" customHeight="1" x14ac:dyDescent="0.3">
      <c r="A358" s="27"/>
      <c r="B358" s="27"/>
      <c r="C358" s="27"/>
      <c r="D358" s="27"/>
      <c r="E358" s="27"/>
      <c r="F358" s="27"/>
      <c r="G358" s="27"/>
      <c r="H358" s="27"/>
      <c r="I358" s="27"/>
      <c r="J358" s="27"/>
      <c r="K358" s="27"/>
      <c r="L358" s="27"/>
    </row>
    <row r="359" spans="1:12" ht="15" customHeight="1" x14ac:dyDescent="0.3">
      <c r="B359" s="27"/>
      <c r="C359" s="27"/>
      <c r="D359" s="27"/>
      <c r="E359" s="27"/>
      <c r="F359" s="27"/>
      <c r="G359" s="27"/>
      <c r="H359" s="27"/>
      <c r="I359" s="27"/>
      <c r="J359" s="27"/>
      <c r="K359" s="27"/>
      <c r="L359" s="27"/>
    </row>
    <row r="360" spans="1:12" ht="15" customHeight="1" x14ac:dyDescent="0.3">
      <c r="A360" s="27"/>
      <c r="B360" s="27"/>
      <c r="C360" s="27"/>
      <c r="D360" s="27"/>
      <c r="E360" s="27"/>
      <c r="F360" s="27"/>
      <c r="G360" s="27"/>
      <c r="H360" s="27"/>
      <c r="I360" s="27"/>
      <c r="J360" s="27"/>
      <c r="K360" s="27"/>
      <c r="L360" s="27"/>
    </row>
    <row r="361" spans="1:12" ht="15" customHeight="1" x14ac:dyDescent="0.3">
      <c r="B361" s="27"/>
      <c r="C361" s="27"/>
      <c r="D361" s="27"/>
      <c r="E361" s="27"/>
      <c r="F361" s="27"/>
      <c r="G361" s="27"/>
      <c r="H361" s="27"/>
      <c r="I361" s="27"/>
      <c r="J361" s="27"/>
      <c r="K361" s="27"/>
      <c r="L361" s="27"/>
    </row>
    <row r="362" spans="1:12" ht="15" customHeight="1" x14ac:dyDescent="0.3">
      <c r="A362" s="27"/>
      <c r="B362" s="27"/>
      <c r="C362" s="27"/>
      <c r="D362" s="27"/>
      <c r="E362" s="27"/>
      <c r="F362" s="27"/>
      <c r="G362" s="27"/>
      <c r="H362" s="27"/>
      <c r="I362" s="27"/>
      <c r="J362" s="27"/>
      <c r="K362" s="27"/>
      <c r="L362" s="27"/>
    </row>
    <row r="363" spans="1:12" ht="15" customHeight="1" x14ac:dyDescent="0.3">
      <c r="B363" s="27"/>
      <c r="C363" s="27"/>
      <c r="D363" s="27"/>
      <c r="E363" s="27"/>
      <c r="F363" s="27"/>
      <c r="G363" s="27"/>
      <c r="H363" s="27"/>
      <c r="I363" s="27"/>
      <c r="J363" s="27"/>
      <c r="K363" s="27"/>
      <c r="L363" s="27"/>
    </row>
    <row r="364" spans="1:12" ht="15" customHeight="1" x14ac:dyDescent="0.3">
      <c r="A364" s="27"/>
      <c r="B364" s="27"/>
      <c r="C364" s="27"/>
      <c r="D364" s="27"/>
      <c r="E364" s="27"/>
      <c r="F364" s="27"/>
      <c r="G364" s="27"/>
      <c r="H364" s="27"/>
      <c r="I364" s="27"/>
      <c r="J364" s="27"/>
      <c r="K364" s="27"/>
      <c r="L364" s="27"/>
    </row>
    <row r="365" spans="1:12" ht="15" customHeight="1" x14ac:dyDescent="0.3">
      <c r="B365" s="27"/>
      <c r="C365" s="27"/>
      <c r="D365" s="27"/>
      <c r="E365" s="27"/>
      <c r="F365" s="27"/>
      <c r="G365" s="27"/>
      <c r="H365" s="27"/>
      <c r="I365" s="27"/>
      <c r="J365" s="27"/>
      <c r="K365" s="27"/>
      <c r="L365" s="27"/>
    </row>
    <row r="366" spans="1:12" ht="15" customHeight="1" x14ac:dyDescent="0.3">
      <c r="A366" s="27"/>
      <c r="B366" s="27"/>
      <c r="C366" s="27"/>
      <c r="D366" s="27"/>
      <c r="E366" s="27"/>
      <c r="F366" s="27"/>
      <c r="G366" s="27"/>
      <c r="H366" s="27"/>
      <c r="I366" s="27"/>
      <c r="J366" s="27"/>
      <c r="K366" s="27"/>
      <c r="L366" s="27"/>
    </row>
  </sheetData>
  <phoneticPr fontId="10"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workbookViewId="0">
      <pane xSplit="1" ySplit="2" topLeftCell="B6" activePane="bottomRight" state="frozenSplit"/>
      <selection pane="topRight"/>
      <selection pane="bottomLeft" activeCell="A3" sqref="A3"/>
      <selection pane="bottomRight" activeCell="M43" sqref="M43"/>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3" width="9.109375" style="29" customWidth="1"/>
    <col min="14" max="15" width="9.109375" style="49" customWidth="1"/>
    <col min="16" max="17" width="9.109375" style="29" customWidth="1"/>
  </cols>
  <sheetData>
    <row r="1" spans="1:21" s="19" customFormat="1" x14ac:dyDescent="0.3">
      <c r="A1" s="20" t="s">
        <v>39</v>
      </c>
      <c r="B1" s="20"/>
      <c r="C1" s="20"/>
      <c r="D1" s="47"/>
      <c r="E1" s="47"/>
      <c r="F1" s="20"/>
      <c r="G1" s="20"/>
      <c r="H1" s="47"/>
      <c r="I1" s="47"/>
      <c r="J1" s="54"/>
      <c r="K1" s="54"/>
      <c r="L1" s="54"/>
      <c r="M1" s="54"/>
      <c r="N1" s="47"/>
      <c r="O1" s="47"/>
      <c r="P1" s="54"/>
      <c r="Q1" s="54"/>
    </row>
    <row r="2" spans="1:21" s="13" customFormat="1" x14ac:dyDescent="0.3">
      <c r="B2" s="27"/>
      <c r="C2" s="27" t="s">
        <v>122</v>
      </c>
      <c r="D2" s="48"/>
      <c r="E2" s="48" t="s">
        <v>123</v>
      </c>
      <c r="G2" s="13" t="s">
        <v>126</v>
      </c>
      <c r="H2" s="48"/>
      <c r="I2" s="48" t="s">
        <v>125</v>
      </c>
      <c r="J2" s="55"/>
      <c r="K2" s="55" t="s">
        <v>129</v>
      </c>
      <c r="L2" s="55"/>
      <c r="M2" s="55" t="s">
        <v>95</v>
      </c>
      <c r="N2" s="48"/>
      <c r="O2" s="48" t="s">
        <v>98</v>
      </c>
      <c r="P2" s="55"/>
      <c r="Q2" s="55" t="s">
        <v>127</v>
      </c>
      <c r="R2" s="48"/>
      <c r="S2" s="48" t="s">
        <v>128</v>
      </c>
    </row>
    <row r="3" spans="1:21" s="13" customFormat="1" x14ac:dyDescent="0.3">
      <c r="B3" s="27" t="s">
        <v>61</v>
      </c>
      <c r="C3" s="27" t="s">
        <v>60</v>
      </c>
      <c r="D3" s="48"/>
      <c r="E3" s="48"/>
      <c r="H3" s="48"/>
      <c r="I3" s="48"/>
      <c r="J3" s="55"/>
      <c r="K3" s="55"/>
      <c r="L3" s="55"/>
      <c r="M3" s="55"/>
      <c r="N3" s="48"/>
      <c r="O3" s="48"/>
      <c r="P3" s="55"/>
      <c r="Q3" s="55"/>
      <c r="R3" s="48"/>
      <c r="S3" s="48"/>
    </row>
    <row r="4" spans="1:21" x14ac:dyDescent="0.3">
      <c r="A4" t="s">
        <v>1</v>
      </c>
      <c r="B4">
        <v>553.44100000000003</v>
      </c>
      <c r="C4">
        <v>496.43900000000002</v>
      </c>
      <c r="D4" s="49">
        <v>692</v>
      </c>
      <c r="E4" s="49">
        <v>116</v>
      </c>
      <c r="F4">
        <v>516.84100000000001</v>
      </c>
      <c r="G4">
        <v>539.44399999999996</v>
      </c>
      <c r="H4" s="49">
        <v>470</v>
      </c>
      <c r="I4" s="49">
        <v>191</v>
      </c>
      <c r="J4" s="29">
        <v>647</v>
      </c>
      <c r="K4" s="29">
        <v>531</v>
      </c>
      <c r="L4" s="29">
        <v>662.47</v>
      </c>
      <c r="M4" s="29">
        <v>571.82899999999995</v>
      </c>
      <c r="N4" s="49">
        <v>633</v>
      </c>
      <c r="O4" s="49">
        <v>417</v>
      </c>
      <c r="P4">
        <v>531.71500000000003</v>
      </c>
      <c r="Q4">
        <v>448.351</v>
      </c>
      <c r="R4" s="49">
        <v>549</v>
      </c>
      <c r="S4" s="49">
        <v>176</v>
      </c>
    </row>
    <row r="5" spans="1:21" x14ac:dyDescent="0.3">
      <c r="A5" t="s">
        <v>2</v>
      </c>
      <c r="B5">
        <v>662.471</v>
      </c>
      <c r="C5">
        <v>553.495</v>
      </c>
      <c r="D5" s="49">
        <v>693</v>
      </c>
      <c r="E5" s="49">
        <v>780</v>
      </c>
      <c r="F5">
        <v>526.428</v>
      </c>
      <c r="G5">
        <v>579.02700000000004</v>
      </c>
      <c r="H5" s="49">
        <v>474</v>
      </c>
      <c r="I5" s="49">
        <v>813</v>
      </c>
      <c r="J5" s="29">
        <v>656</v>
      </c>
      <c r="K5" s="29">
        <v>532</v>
      </c>
      <c r="L5" s="29">
        <v>643.00599999999997</v>
      </c>
      <c r="M5" s="29">
        <v>575.553</v>
      </c>
      <c r="N5" s="49">
        <v>634</v>
      </c>
      <c r="O5" s="49">
        <v>739</v>
      </c>
      <c r="P5">
        <v>564.13800000000003</v>
      </c>
      <c r="Q5">
        <v>483.61599999999999</v>
      </c>
      <c r="R5" s="49">
        <v>548</v>
      </c>
      <c r="S5" s="49">
        <v>770</v>
      </c>
    </row>
    <row r="6" spans="1:21" x14ac:dyDescent="0.3">
      <c r="A6" t="s">
        <v>4</v>
      </c>
      <c r="B6">
        <f t="shared" ref="B6:Q6" si="0">B5-B4</f>
        <v>109.02999999999997</v>
      </c>
      <c r="C6">
        <f t="shared" si="0"/>
        <v>57.055999999999983</v>
      </c>
      <c r="D6" s="49">
        <f>D5-D4</f>
        <v>1</v>
      </c>
      <c r="E6" s="49">
        <f>E5-E4</f>
        <v>664</v>
      </c>
      <c r="F6">
        <f t="shared" si="0"/>
        <v>9.5869999999999891</v>
      </c>
      <c r="G6">
        <f t="shared" si="0"/>
        <v>39.583000000000084</v>
      </c>
      <c r="H6" s="49">
        <f t="shared" si="0"/>
        <v>4</v>
      </c>
      <c r="I6" s="49">
        <f t="shared" si="0"/>
        <v>622</v>
      </c>
      <c r="J6">
        <f t="shared" si="0"/>
        <v>9</v>
      </c>
      <c r="K6">
        <f t="shared" si="0"/>
        <v>1</v>
      </c>
      <c r="L6">
        <f t="shared" si="0"/>
        <v>-19.464000000000055</v>
      </c>
      <c r="M6">
        <f t="shared" si="0"/>
        <v>3.7240000000000464</v>
      </c>
      <c r="N6" s="49">
        <f t="shared" si="0"/>
        <v>1</v>
      </c>
      <c r="O6" s="49">
        <f t="shared" si="0"/>
        <v>322</v>
      </c>
      <c r="P6" s="29">
        <f t="shared" si="0"/>
        <v>32.423000000000002</v>
      </c>
      <c r="Q6" s="29">
        <f t="shared" si="0"/>
        <v>35.264999999999986</v>
      </c>
      <c r="R6" s="49">
        <f>R5-R4</f>
        <v>-1</v>
      </c>
      <c r="S6" s="49">
        <f>S5-S4</f>
        <v>594</v>
      </c>
      <c r="T6" s="29"/>
      <c r="U6" s="29"/>
    </row>
    <row r="7" spans="1:21" x14ac:dyDescent="0.3">
      <c r="A7" t="s">
        <v>5</v>
      </c>
      <c r="B7">
        <f t="shared" ref="B7:Q7" si="1">B6^2</f>
        <v>11887.540899999995</v>
      </c>
      <c r="C7">
        <f t="shared" si="1"/>
        <v>3255.387135999998</v>
      </c>
      <c r="D7" s="49">
        <f>D6^2</f>
        <v>1</v>
      </c>
      <c r="E7" s="49">
        <f>E6^2</f>
        <v>440896</v>
      </c>
      <c r="F7">
        <f t="shared" si="1"/>
        <v>91.910568999999796</v>
      </c>
      <c r="G7">
        <f t="shared" si="1"/>
        <v>1566.8138890000066</v>
      </c>
      <c r="H7" s="49">
        <f t="shared" si="1"/>
        <v>16</v>
      </c>
      <c r="I7" s="49">
        <f t="shared" si="1"/>
        <v>386884</v>
      </c>
      <c r="J7">
        <f t="shared" si="1"/>
        <v>81</v>
      </c>
      <c r="K7">
        <f t="shared" si="1"/>
        <v>1</v>
      </c>
      <c r="L7">
        <f t="shared" si="1"/>
        <v>378.84729600000213</v>
      </c>
      <c r="M7">
        <f t="shared" si="1"/>
        <v>13.868176000000345</v>
      </c>
      <c r="N7" s="49">
        <f t="shared" si="1"/>
        <v>1</v>
      </c>
      <c r="O7" s="49">
        <f t="shared" si="1"/>
        <v>103684</v>
      </c>
      <c r="P7" s="29">
        <f t="shared" si="1"/>
        <v>1051.250929</v>
      </c>
      <c r="Q7" s="29">
        <f t="shared" si="1"/>
        <v>1243.620224999999</v>
      </c>
      <c r="R7" s="49">
        <f>R6^2</f>
        <v>1</v>
      </c>
      <c r="S7" s="49">
        <f>S6^2</f>
        <v>352836</v>
      </c>
      <c r="T7" s="29"/>
      <c r="U7" s="29"/>
    </row>
    <row r="8" spans="1:21" x14ac:dyDescent="0.3">
      <c r="A8" t="s">
        <v>6</v>
      </c>
      <c r="C8">
        <f>SQRT(SUM(B7:C7))</f>
        <v>123.05660500761425</v>
      </c>
      <c r="E8" s="49">
        <f>SQRT(SUM(D7:E7))</f>
        <v>664.00075301162121</v>
      </c>
      <c r="G8">
        <f>SQRT(SUM(F7:G7))</f>
        <v>40.727441093199147</v>
      </c>
      <c r="I8" s="49">
        <f>SQRT(SUM(H7:I7))</f>
        <v>622.0128616033594</v>
      </c>
      <c r="J8"/>
      <c r="K8">
        <f>SQRT(SUM(J7:K7))</f>
        <v>9.0553851381374173</v>
      </c>
      <c r="L8"/>
      <c r="M8">
        <f>SQRT(SUM(L7:M7))</f>
        <v>19.817050032737026</v>
      </c>
      <c r="O8" s="49">
        <f>SQRT(SUM(N7:O7))</f>
        <v>322.001552791287</v>
      </c>
      <c r="Q8" s="29">
        <f>SQRT(SUM(P7:Q7))</f>
        <v>47.904813474221974</v>
      </c>
      <c r="R8" s="49"/>
      <c r="S8" s="49">
        <f>SQRT(SUM(R7:S7))</f>
        <v>594.00084175024529</v>
      </c>
      <c r="T8" s="29"/>
      <c r="U8" s="29"/>
    </row>
    <row r="9" spans="1:21" x14ac:dyDescent="0.3">
      <c r="A9" t="s">
        <v>7</v>
      </c>
      <c r="C9">
        <f>MOD(ATAN2(C6,B6)*180/PI()+270,360)</f>
        <v>332.37668961758595</v>
      </c>
      <c r="E9" s="49">
        <f>MOD(ATAN2(E6,D6)*180/PI()+270,360)</f>
        <v>270.0862887593305</v>
      </c>
      <c r="G9">
        <f>MOD(ATAN2(G6,F6)*180/PI()+270,360)</f>
        <v>283.61485570429409</v>
      </c>
      <c r="I9" s="49">
        <f>MOD(ATAN2(I6,H6)*180/PI()+270,360)</f>
        <v>270.36845652533771</v>
      </c>
      <c r="J9"/>
      <c r="K9">
        <f>MOD(ATAN2(K6,J6)*180/PI()+270,360)</f>
        <v>353.65980825409008</v>
      </c>
      <c r="L9"/>
      <c r="M9">
        <f>MOD(ATAN2(M6,L6)*180/PI()+270,360)</f>
        <v>190.8313635997545</v>
      </c>
      <c r="O9" s="49">
        <f>MOD(ATAN2(O6,N6)*180/PI()+270,360)</f>
        <v>270.17793663141038</v>
      </c>
      <c r="Q9" s="29">
        <f>MOD(ATAN2(Q6,P6)*180/PI()+270,360)</f>
        <v>312.59574784222605</v>
      </c>
      <c r="R9" s="49"/>
      <c r="S9" s="49">
        <f>MOD(ATAN2(S6,R6)*180/PI()+270,360)</f>
        <v>269.903542549858</v>
      </c>
      <c r="T9" s="29"/>
      <c r="U9" s="29"/>
    </row>
    <row r="10" spans="1:21" s="17" customFormat="1" ht="117" customHeight="1" x14ac:dyDescent="0.3">
      <c r="A10" s="16" t="s">
        <v>40</v>
      </c>
      <c r="B10" s="393" t="s">
        <v>141</v>
      </c>
      <c r="C10" s="393"/>
      <c r="D10" s="394" t="s">
        <v>124</v>
      </c>
      <c r="E10" s="394"/>
      <c r="F10" s="393" t="s">
        <v>141</v>
      </c>
      <c r="G10" s="393"/>
      <c r="H10" s="394" t="s">
        <v>124</v>
      </c>
      <c r="I10" s="394"/>
      <c r="J10" s="399" t="s">
        <v>142</v>
      </c>
      <c r="K10" s="399"/>
      <c r="L10" s="393" t="s">
        <v>141</v>
      </c>
      <c r="M10" s="393"/>
      <c r="N10" s="51"/>
      <c r="O10" s="51"/>
      <c r="P10" s="393" t="s">
        <v>141</v>
      </c>
      <c r="Q10" s="393"/>
      <c r="R10" s="398"/>
      <c r="S10" s="398"/>
    </row>
    <row r="11" spans="1:21" s="19" customFormat="1" x14ac:dyDescent="0.3">
      <c r="A11" s="20" t="s">
        <v>37</v>
      </c>
      <c r="B11" s="20"/>
      <c r="C11" s="20"/>
      <c r="D11" s="47"/>
      <c r="E11" s="47"/>
      <c r="F11" s="20"/>
      <c r="G11" s="20"/>
      <c r="H11" s="47"/>
      <c r="I11" s="47"/>
      <c r="J11" s="54"/>
      <c r="K11" s="54"/>
      <c r="L11" s="54"/>
      <c r="M11" s="54"/>
      <c r="N11" s="47"/>
      <c r="O11" s="47"/>
      <c r="P11" s="54"/>
      <c r="Q11" s="54"/>
    </row>
    <row r="12" spans="1:21" s="1" customFormat="1" x14ac:dyDescent="0.3">
      <c r="B12" s="1" t="s">
        <v>62</v>
      </c>
      <c r="C12" s="1" t="s">
        <v>63</v>
      </c>
      <c r="D12" s="50"/>
      <c r="E12" s="50"/>
      <c r="H12" s="50"/>
      <c r="I12" s="50"/>
      <c r="J12" s="56"/>
      <c r="K12" s="56"/>
      <c r="L12" s="56"/>
      <c r="M12" s="56"/>
      <c r="N12" s="50"/>
      <c r="O12" s="50"/>
      <c r="P12" s="56"/>
      <c r="Q12" s="56"/>
    </row>
    <row r="13" spans="1:21" x14ac:dyDescent="0.3">
      <c r="A13" t="s">
        <v>18</v>
      </c>
    </row>
    <row r="14" spans="1:21" x14ac:dyDescent="0.3">
      <c r="A14" t="s">
        <v>17</v>
      </c>
    </row>
    <row r="15" spans="1:21" x14ac:dyDescent="0.3">
      <c r="A15" t="s">
        <v>14</v>
      </c>
    </row>
    <row r="16" spans="1:21" x14ac:dyDescent="0.3">
      <c r="A16" t="s">
        <v>13</v>
      </c>
      <c r="C16">
        <v>14.4</v>
      </c>
      <c r="E16" s="53">
        <f>5*15*COS((31+36/60)*PI()/180)</f>
        <v>63.879520060728574</v>
      </c>
      <c r="G16">
        <v>4.6449999999999996</v>
      </c>
      <c r="H16" s="53"/>
      <c r="I16" s="53">
        <f>5*15*COS((31+36/60)*PI()/180)</f>
        <v>63.879520060728574</v>
      </c>
      <c r="K16" s="29">
        <v>1.103</v>
      </c>
      <c r="M16" s="29">
        <v>2.3370000000000002</v>
      </c>
      <c r="N16" s="53"/>
      <c r="O16" s="53">
        <f>5*15*COS((31+36/60)*PI()/180)</f>
        <v>63.879520060728574</v>
      </c>
      <c r="Q16" s="29">
        <v>5.5030000000000001</v>
      </c>
      <c r="R16" s="53"/>
      <c r="S16" s="53">
        <f>5*15*COS((2+30/60)*PI()/180)</f>
        <v>74.928616618639339</v>
      </c>
      <c r="T16" s="29"/>
      <c r="U16" s="29"/>
    </row>
    <row r="17" spans="1:21" x14ac:dyDescent="0.3">
      <c r="A17" t="s">
        <v>7</v>
      </c>
      <c r="C17">
        <v>152</v>
      </c>
      <c r="E17" s="49">
        <v>90</v>
      </c>
      <c r="G17">
        <v>103.69</v>
      </c>
      <c r="I17" s="49">
        <v>90</v>
      </c>
      <c r="K17" s="29">
        <v>190.92</v>
      </c>
      <c r="M17" s="29">
        <v>7.76</v>
      </c>
      <c r="O17" s="49">
        <v>90</v>
      </c>
      <c r="Q17" s="29">
        <v>133.38</v>
      </c>
      <c r="R17" s="49"/>
      <c r="S17" s="49">
        <v>90</v>
      </c>
      <c r="T17" s="29"/>
      <c r="U17" s="29"/>
    </row>
    <row r="18" spans="1:21" x14ac:dyDescent="0.3">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0.20895033428639651</v>
      </c>
      <c r="K18" s="9">
        <f>K16*COS((K17)/180*PI())</f>
        <v>-1.083027588661343</v>
      </c>
      <c r="L18" s="9">
        <f>-M16*SIN((M17)/180*PI())</f>
        <v>-0.31555077704462053</v>
      </c>
      <c r="M18" s="9">
        <f>M16*COS((M17)/180*PI())</f>
        <v>2.3155985634618399</v>
      </c>
      <c r="N18" s="9">
        <f>-O16*SIN((O17)/180*PI())</f>
        <v>-63.879520060728574</v>
      </c>
      <c r="O18" s="9">
        <f>O16*COS((O17)/180*PI())</f>
        <v>3.9130947651352902E-15</v>
      </c>
      <c r="P18" s="9">
        <f>-Q16*SIN((Q17)/180*PI())</f>
        <v>-3.9996600035744265</v>
      </c>
      <c r="Q18" s="9">
        <f>Q16*COS((Q17)/180*PI())</f>
        <v>-3.7796466575338781</v>
      </c>
      <c r="R18" s="9">
        <f>-S16*SIN((S17)/180*PI())</f>
        <v>-74.928616618639339</v>
      </c>
      <c r="S18" s="9">
        <f>S16*COS((S17)/180*PI())</f>
        <v>4.5899339439383164E-15</v>
      </c>
      <c r="T18" s="9"/>
      <c r="U18" s="9"/>
    </row>
    <row r="19" spans="1:21" s="14" customFormat="1" ht="69" customHeight="1" x14ac:dyDescent="0.3">
      <c r="A19" s="15" t="s">
        <v>40</v>
      </c>
      <c r="B19" s="389"/>
      <c r="C19" s="389"/>
      <c r="D19" s="51"/>
      <c r="E19" s="51"/>
      <c r="F19" s="390"/>
      <c r="G19" s="390"/>
      <c r="H19" s="51"/>
      <c r="I19" s="51"/>
      <c r="J19" s="21"/>
      <c r="K19" s="21"/>
      <c r="L19" s="21"/>
      <c r="M19" s="21"/>
      <c r="N19" s="51"/>
      <c r="O19" s="51"/>
      <c r="P19" s="21"/>
      <c r="Q19" s="21"/>
    </row>
    <row r="20" spans="1:21" s="19" customFormat="1" x14ac:dyDescent="0.3">
      <c r="A20" s="18" t="s">
        <v>38</v>
      </c>
      <c r="D20" s="47"/>
      <c r="E20" s="47"/>
      <c r="H20" s="47"/>
      <c r="I20" s="47"/>
      <c r="J20" s="54"/>
      <c r="K20" s="54"/>
      <c r="L20" s="54"/>
      <c r="M20" s="54"/>
      <c r="N20" s="47"/>
      <c r="O20" s="47"/>
      <c r="P20" s="54"/>
      <c r="Q20" s="54"/>
    </row>
    <row r="21" spans="1:21" x14ac:dyDescent="0.3">
      <c r="A21" s="7" t="s">
        <v>65</v>
      </c>
      <c r="C21">
        <f>C16/C8</f>
        <v>0.11701931805374434</v>
      </c>
      <c r="E21">
        <f>E16/E8</f>
        <v>9.6203987376518182E-2</v>
      </c>
      <c r="G21">
        <f>G16/G8</f>
        <v>0.1140508678011603</v>
      </c>
      <c r="I21">
        <f>I16/I8</f>
        <v>0.10269806945159729</v>
      </c>
      <c r="J21"/>
      <c r="K21">
        <f>K16/K8</f>
        <v>0.12180597326055573</v>
      </c>
      <c r="L21"/>
      <c r="M21">
        <f>M16/M8</f>
        <v>0.11792875307572841</v>
      </c>
      <c r="N21"/>
      <c r="O21">
        <f>O16/O8</f>
        <v>0.19838264600585206</v>
      </c>
      <c r="Q21" s="29">
        <f>Q16/Q8</f>
        <v>0.11487363379384027</v>
      </c>
      <c r="R21" s="49"/>
      <c r="S21">
        <f>S16/S8</f>
        <v>0.12614227346523521</v>
      </c>
      <c r="U21" s="29"/>
    </row>
    <row r="22" spans="1:21" x14ac:dyDescent="0.3">
      <c r="A22" t="s">
        <v>132</v>
      </c>
      <c r="B22">
        <f>STDEV(C21,G21,K21,M21,Q21)</f>
        <v>3.0449574497118776E-3</v>
      </c>
      <c r="C22">
        <f>AVERAGE(C21,G21,K21,M21,Q21)</f>
        <v>0.11713570919700581</v>
      </c>
      <c r="J22">
        <f>STDEV(J21:M21)</f>
        <v>2.7416086848447577E-3</v>
      </c>
      <c r="K22">
        <f>AVERAGE(J21:M21)</f>
        <v>0.11986736316814206</v>
      </c>
      <c r="L22">
        <f>STDEV(L21:O21)</f>
        <v>5.688949326374694E-2</v>
      </c>
      <c r="M22">
        <f>AVERAGE(L21:O21)</f>
        <v>0.15815569954079023</v>
      </c>
      <c r="R22" s="49"/>
      <c r="S22" s="49"/>
      <c r="U22" s="29"/>
    </row>
    <row r="23" spans="1:21" x14ac:dyDescent="0.3">
      <c r="A23" t="s">
        <v>35</v>
      </c>
      <c r="C23">
        <f>C21-$C22</f>
        <v>-1.163911432614656E-4</v>
      </c>
      <c r="E23">
        <f>E21-$C22</f>
        <v>-2.0931721820487623E-2</v>
      </c>
      <c r="G23">
        <f>G21-$C22</f>
        <v>-3.0848413958455001E-3</v>
      </c>
      <c r="I23">
        <f>I21-$C22</f>
        <v>-1.4437639745408515E-2</v>
      </c>
      <c r="J23"/>
      <c r="K23">
        <f>K21-$C22</f>
        <v>4.6702640635499226E-3</v>
      </c>
      <c r="L23"/>
      <c r="M23">
        <f>M21-$C22</f>
        <v>7.9304387872260185E-4</v>
      </c>
      <c r="O23">
        <f>O21-$C22</f>
        <v>8.124693680884626E-2</v>
      </c>
      <c r="Q23">
        <f>Q21-$C22</f>
        <v>-2.262075403165531E-3</v>
      </c>
      <c r="R23" s="49"/>
      <c r="S23">
        <f>S21-$C22</f>
        <v>9.0065642682294056E-3</v>
      </c>
    </row>
    <row r="24" spans="1:21" x14ac:dyDescent="0.3">
      <c r="A24" s="7" t="s">
        <v>64</v>
      </c>
      <c r="C24" s="29">
        <f>MOD(C9-C17,360)</f>
        <v>180.37668961758595</v>
      </c>
      <c r="E24" s="29">
        <f>MOD(E9-E17,360)</f>
        <v>180.0862887593305</v>
      </c>
      <c r="G24">
        <f>MOD(G9-G17,360)</f>
        <v>179.92485570429409</v>
      </c>
      <c r="I24" s="29">
        <f>MOD(I9-I17,360)</f>
        <v>180.36845652533771</v>
      </c>
      <c r="J24"/>
      <c r="K24">
        <f>MOD(K9-K17,360)</f>
        <v>162.73980825409009</v>
      </c>
      <c r="L24"/>
      <c r="M24">
        <f>MOD(M9-M17,360)</f>
        <v>183.07136359975451</v>
      </c>
      <c r="N24" s="29"/>
      <c r="O24" s="29">
        <f>MOD(O9-O17,360)</f>
        <v>180.17793663141038</v>
      </c>
      <c r="Q24" s="29">
        <f>MOD(Q9-Q17,360)</f>
        <v>179.21574784222605</v>
      </c>
      <c r="R24" s="49"/>
      <c r="S24" s="29">
        <f>MOD(S9-S17,360)</f>
        <v>179.903542549858</v>
      </c>
      <c r="U24" s="29"/>
    </row>
    <row r="25" spans="1:21" x14ac:dyDescent="0.3">
      <c r="A25" t="s">
        <v>131</v>
      </c>
      <c r="B25">
        <f>STDEV(E24,I24,O24,S24)</f>
        <v>0.19346599707188555</v>
      </c>
      <c r="C25">
        <f>AVERAGE(E24,I24,O24,S24)</f>
        <v>180.13405611648415</v>
      </c>
      <c r="J25"/>
      <c r="K25"/>
      <c r="L25"/>
      <c r="M25"/>
      <c r="R25" s="49"/>
      <c r="S25" s="49"/>
      <c r="U25" s="29"/>
    </row>
    <row r="26" spans="1:21" x14ac:dyDescent="0.3">
      <c r="A26" t="s">
        <v>35</v>
      </c>
      <c r="C26">
        <f>C24-$C25</f>
        <v>0.24263350110180681</v>
      </c>
      <c r="E26" s="49">
        <f>E24-$C25</f>
        <v>-4.7767357153645662E-2</v>
      </c>
      <c r="G26">
        <f>G24-$C25</f>
        <v>-0.20920041219005725</v>
      </c>
      <c r="I26" s="49">
        <f>I24-$C25</f>
        <v>0.23440040885355984</v>
      </c>
      <c r="J26"/>
      <c r="K26">
        <f>K24-$C25</f>
        <v>-17.394247862394053</v>
      </c>
      <c r="L26"/>
      <c r="M26">
        <f>M24-$C25</f>
        <v>2.9373074832703594</v>
      </c>
      <c r="O26" s="49">
        <f>O24-$C25</f>
        <v>4.3880514926229353E-2</v>
      </c>
      <c r="Q26" s="29">
        <f>Q24-$C25</f>
        <v>-0.91830827425809503</v>
      </c>
      <c r="R26" s="49"/>
      <c r="S26" s="49">
        <f>S24-$C25</f>
        <v>-0.23051356662614353</v>
      </c>
      <c r="U26" s="29"/>
    </row>
    <row r="27" spans="1:21" x14ac:dyDescent="0.3">
      <c r="A27" t="s">
        <v>67</v>
      </c>
      <c r="C27">
        <f>SQRT(C16)</f>
        <v>3.7947331922020551</v>
      </c>
      <c r="E27" s="49">
        <f>SQRT(E16)</f>
        <v>7.9924664566533261</v>
      </c>
      <c r="G27">
        <f>SQRT(G16)</f>
        <v>2.1552262062252305</v>
      </c>
      <c r="I27" s="49">
        <f>SQRT(I16)</f>
        <v>7.9924664566533261</v>
      </c>
      <c r="J27"/>
      <c r="K27">
        <f>SQRT(K16)</f>
        <v>1.0502380682492898</v>
      </c>
      <c r="L27"/>
      <c r="M27">
        <f>SQRT(M16)</f>
        <v>1.5287249589118379</v>
      </c>
      <c r="O27" s="49">
        <f>SQRT(O16)</f>
        <v>7.9924664566533261</v>
      </c>
      <c r="Q27" s="29">
        <f>SQRT(Q16)</f>
        <v>2.3458473948660856</v>
      </c>
      <c r="R27" s="49"/>
      <c r="S27" s="49">
        <f>SQRT(S16)</f>
        <v>8.6561317352868041</v>
      </c>
      <c r="U27" s="29"/>
    </row>
    <row r="28" spans="1:21" x14ac:dyDescent="0.3">
      <c r="A28" t="s">
        <v>68</v>
      </c>
      <c r="C28">
        <f>C27*C21</f>
        <v>0.44405709034739282</v>
      </c>
      <c r="E28">
        <f>E27*E21</f>
        <v>0.76890714210312161</v>
      </c>
      <c r="G28">
        <f>G27*G21</f>
        <v>0.24580541912779003</v>
      </c>
      <c r="I28">
        <f>I27*I21</f>
        <v>0.820810875254945</v>
      </c>
      <c r="J28"/>
      <c r="K28">
        <f>K27*K21</f>
        <v>0.12792527005839069</v>
      </c>
      <c r="L28"/>
      <c r="M28">
        <f>M27*M21</f>
        <v>0.18028062820021717</v>
      </c>
      <c r="N28"/>
      <c r="O28">
        <f>O27*O21</f>
        <v>1.5855666437839036</v>
      </c>
      <c r="Q28" s="29">
        <f>Q27*Q21</f>
        <v>0.26947601457408094</v>
      </c>
      <c r="R28" s="49"/>
      <c r="S28">
        <f>S27*S21</f>
        <v>1.091904136503649</v>
      </c>
      <c r="U28" s="29"/>
    </row>
    <row r="29" spans="1:21" x14ac:dyDescent="0.3">
      <c r="A29" t="s">
        <v>69</v>
      </c>
      <c r="C29" s="7">
        <f>SUM(C28,G28,M28,Q28)/SUM(C27,G27,M27,Q27)</f>
        <v>0.11599729951442039</v>
      </c>
      <c r="G29" s="7">
        <f>SUM(F28:I28)/SUM(F27:I27)</f>
        <v>0.10510924303852263</v>
      </c>
      <c r="J29"/>
      <c r="K29" s="7">
        <f>SUM(J28:M28)/SUM(J27:M27)</f>
        <v>0.11950768390730866</v>
      </c>
      <c r="L29"/>
      <c r="M29" s="7">
        <f>SUM(L28:O28)/SUM(L27:O27)</f>
        <v>0.18546494812585412</v>
      </c>
      <c r="R29" s="49"/>
      <c r="S29" s="49"/>
      <c r="U29" s="29"/>
    </row>
    <row r="30" spans="1:21" x14ac:dyDescent="0.3">
      <c r="A30" t="s">
        <v>72</v>
      </c>
      <c r="C30" s="7">
        <f>C21-$C$29</f>
        <v>1.0220185393239462E-3</v>
      </c>
      <c r="E30" s="52">
        <f>E21-$C$29</f>
        <v>-1.9793312137902211E-2</v>
      </c>
      <c r="G30" s="7">
        <f>G21-$C$29</f>
        <v>-1.9464317132600883E-3</v>
      </c>
      <c r="I30" s="7">
        <f>I21-$C$29</f>
        <v>-1.3299230062823103E-2</v>
      </c>
      <c r="J30"/>
      <c r="K30" s="7">
        <f>K21-$C$29</f>
        <v>5.8086737461353344E-3</v>
      </c>
      <c r="L30"/>
      <c r="M30" s="7">
        <f>M21-$C$29</f>
        <v>1.9314535613080136E-3</v>
      </c>
      <c r="N30" s="52"/>
      <c r="O30" s="7">
        <f>O21-$C$29</f>
        <v>8.2385346491431671E-2</v>
      </c>
      <c r="Q30" s="7">
        <f>Q21-$C$29</f>
        <v>-1.1236657205801193E-3</v>
      </c>
      <c r="R30" s="49"/>
      <c r="S30" s="7">
        <f>S21-$C$29</f>
        <v>1.0144973950814817E-2</v>
      </c>
      <c r="U30" s="7"/>
    </row>
    <row r="31" spans="1:21" x14ac:dyDescent="0.3">
      <c r="A31" t="s">
        <v>119</v>
      </c>
      <c r="C31">
        <f>C27*C24</f>
        <v>684.4814111913812</v>
      </c>
      <c r="E31" s="49">
        <f>E27*E24</f>
        <v>1439.3336222121341</v>
      </c>
      <c r="G31">
        <f>G27*G24</f>
        <v>387.77876416518779</v>
      </c>
      <c r="I31" s="49">
        <f>I27*I24</f>
        <v>1441.5888386170955</v>
      </c>
      <c r="J31"/>
      <c r="K31">
        <f>K27*K24</f>
        <v>170.91554184803542</v>
      </c>
      <c r="L31"/>
      <c r="M31">
        <f>M27*M24</f>
        <v>279.86576279696885</v>
      </c>
      <c r="O31" s="49">
        <f>O27*O24</f>
        <v>1440.0661147555561</v>
      </c>
      <c r="Q31" s="29">
        <f>Q27*Q24</f>
        <v>420.41279519466326</v>
      </c>
      <c r="R31" s="49"/>
      <c r="S31" s="49">
        <f>S27*S24</f>
        <v>1557.2687639563458</v>
      </c>
      <c r="U31" s="29"/>
    </row>
    <row r="32" spans="1:21" x14ac:dyDescent="0.3">
      <c r="A32" t="s">
        <v>120</v>
      </c>
      <c r="C32" s="7">
        <f>SUM(E31,I31,O31,S31)/SUM(E27,I27,O27,S27)</f>
        <v>180.12936818216502</v>
      </c>
      <c r="G32" s="7">
        <f>SUM(F31:I31)/SUM(F27:I27)</f>
        <v>180.27424199338665</v>
      </c>
      <c r="J32"/>
      <c r="K32" s="7">
        <f>SUM(J31:M31)/SUM(J27:M27)</f>
        <v>174.79168948816439</v>
      </c>
      <c r="L32"/>
      <c r="M32" s="7">
        <f>SUM(L31:O31)/SUM(L27:O27)</f>
        <v>180.64250601461436</v>
      </c>
      <c r="R32" s="49"/>
      <c r="S32" s="49"/>
      <c r="U32" s="29"/>
    </row>
    <row r="33" spans="1:21" x14ac:dyDescent="0.3">
      <c r="A33" t="s">
        <v>121</v>
      </c>
      <c r="C33" s="7">
        <f>C24-$C$32</f>
        <v>0.24732143542092899</v>
      </c>
      <c r="E33" s="52">
        <f>E24-$C$32</f>
        <v>-4.3079422834523484E-2</v>
      </c>
      <c r="G33" s="7">
        <f>G24-$C$32</f>
        <v>-0.20451247787093507</v>
      </c>
      <c r="I33" s="7">
        <f>I24-$C$32</f>
        <v>0.23908834317268202</v>
      </c>
      <c r="J33"/>
      <c r="K33" s="7">
        <f>K24-$C$32</f>
        <v>-17.389559928074931</v>
      </c>
      <c r="L33"/>
      <c r="M33" s="7">
        <f>M24-$C$32</f>
        <v>2.9419954175894816</v>
      </c>
      <c r="N33" s="52"/>
      <c r="O33" s="7">
        <f>O24-$C$32</f>
        <v>4.856844924535153E-2</v>
      </c>
      <c r="Q33" s="7">
        <f>Q24-$C$32</f>
        <v>-0.91362033993897285</v>
      </c>
      <c r="R33" s="49"/>
      <c r="S33" s="7">
        <f>S24-$C$32</f>
        <v>-0.22582563230702135</v>
      </c>
      <c r="U33" s="7"/>
    </row>
    <row r="34" spans="1:21" s="14" customFormat="1" ht="75.75" customHeight="1" x14ac:dyDescent="0.3">
      <c r="A34" s="15" t="s">
        <v>40</v>
      </c>
      <c r="B34" s="391"/>
      <c r="C34" s="391"/>
      <c r="D34" s="51"/>
      <c r="E34" s="51"/>
      <c r="H34" s="51"/>
      <c r="I34" s="51"/>
      <c r="J34" s="21"/>
      <c r="K34" s="21"/>
      <c r="L34" s="21"/>
      <c r="M34" s="21"/>
      <c r="N34" s="51"/>
      <c r="O34" s="51"/>
      <c r="P34" s="21"/>
      <c r="Q34" s="21"/>
    </row>
    <row r="35" spans="1:21" s="19" customFormat="1" x14ac:dyDescent="0.3">
      <c r="A35" s="20" t="s">
        <v>54</v>
      </c>
      <c r="B35" s="20"/>
      <c r="C35" s="20"/>
      <c r="D35" s="47"/>
      <c r="E35" s="47"/>
      <c r="F35" s="20"/>
      <c r="G35" s="20"/>
      <c r="H35" s="47"/>
      <c r="I35" s="47"/>
      <c r="J35" s="54"/>
      <c r="K35" s="54"/>
      <c r="L35" s="54"/>
      <c r="M35" s="54"/>
      <c r="N35" s="47"/>
      <c r="O35" s="47"/>
      <c r="P35" s="54"/>
      <c r="Q35" s="54"/>
    </row>
    <row r="36" spans="1:21" x14ac:dyDescent="0.3">
      <c r="A36" s="7" t="s">
        <v>42</v>
      </c>
      <c r="C36" s="4">
        <f>C8*$C29</f>
        <v>14.274233868295955</v>
      </c>
      <c r="G36" s="110">
        <f>G8*$C29</f>
        <v>4.724273182943735</v>
      </c>
      <c r="J36"/>
      <c r="K36" s="4">
        <f>K8*$C29</f>
        <v>1.050400222086957</v>
      </c>
      <c r="L36"/>
      <c r="M36" s="110">
        <f>M8*$C29</f>
        <v>2.2987242881396512</v>
      </c>
      <c r="Q36" s="109">
        <f>Q8*$C29</f>
        <v>5.5568289967517686</v>
      </c>
      <c r="T36" s="29"/>
      <c r="U36" s="57"/>
    </row>
    <row r="37" spans="1:21" x14ac:dyDescent="0.3">
      <c r="A37" t="s">
        <v>50</v>
      </c>
      <c r="C37" s="4">
        <f>C36-C16</f>
        <v>-0.12576613170404549</v>
      </c>
      <c r="G37" s="4">
        <f>G36-G16</f>
        <v>7.9273182943735421E-2</v>
      </c>
      <c r="J37"/>
      <c r="K37" s="4">
        <f>K36-K16</f>
        <v>-5.2599777913042933E-2</v>
      </c>
      <c r="L37"/>
      <c r="M37" s="4">
        <f>M36-M16</f>
        <v>-3.8275711860348949E-2</v>
      </c>
      <c r="Q37" s="57">
        <f>Q36-Q16</f>
        <v>5.3828996751768443E-2</v>
      </c>
      <c r="T37" s="29"/>
      <c r="U37" s="57"/>
    </row>
    <row r="38" spans="1:21" x14ac:dyDescent="0.3">
      <c r="A38" t="s">
        <v>51</v>
      </c>
      <c r="C38" s="23">
        <f>C37/C16</f>
        <v>-8.7337591461142706E-3</v>
      </c>
      <c r="G38" s="23">
        <f>G37/G16</f>
        <v>1.7066347243000091E-2</v>
      </c>
      <c r="J38"/>
      <c r="K38" s="23">
        <f>K37/K16</f>
        <v>-4.7687921951988156E-2</v>
      </c>
      <c r="L38"/>
      <c r="M38" s="23">
        <f>M37/M16</f>
        <v>-1.6378139435322611E-2</v>
      </c>
      <c r="Q38" s="58">
        <f>Q37/Q16</f>
        <v>9.7817548158765106E-3</v>
      </c>
      <c r="T38" s="29"/>
      <c r="U38" s="58"/>
    </row>
    <row r="39" spans="1:21" x14ac:dyDescent="0.3">
      <c r="A39" s="29" t="s">
        <v>53</v>
      </c>
      <c r="B39">
        <f>AVERAGE(B37:G37)</f>
        <v>-2.3246474380155036E-2</v>
      </c>
      <c r="C39" s="23">
        <f>AVERAGE(C38:G38)</f>
        <v>4.1662940484429103E-3</v>
      </c>
      <c r="G39" s="23"/>
      <c r="J39"/>
      <c r="K39" s="23"/>
      <c r="L39"/>
      <c r="M39" s="23"/>
      <c r="Q39" s="58"/>
      <c r="T39" s="29"/>
      <c r="U39" s="58"/>
    </row>
    <row r="40" spans="1:21" x14ac:dyDescent="0.3">
      <c r="A40" s="29" t="s">
        <v>52</v>
      </c>
      <c r="B40">
        <f>STDEV(B37:G37)</f>
        <v>0.14498468979728807</v>
      </c>
      <c r="C40" s="23">
        <f>STDEV(C38:G38)</f>
        <v>1.8243430183077138E-2</v>
      </c>
      <c r="G40" s="23"/>
      <c r="J40"/>
      <c r="K40" s="23"/>
      <c r="L40"/>
      <c r="M40" s="23"/>
      <c r="Q40" s="58"/>
      <c r="T40" s="29"/>
      <c r="U40" s="58"/>
    </row>
    <row r="41" spans="1:21" x14ac:dyDescent="0.3">
      <c r="C41" s="23"/>
      <c r="G41" s="4"/>
      <c r="Q41" s="57"/>
      <c r="T41" s="29"/>
      <c r="U41" s="57"/>
    </row>
    <row r="42" spans="1:21" x14ac:dyDescent="0.3">
      <c r="A42" s="7" t="s">
        <v>43</v>
      </c>
      <c r="C42" s="4">
        <f>MOD(C9-$C32,360)</f>
        <v>152.24732143542093</v>
      </c>
      <c r="G42" s="4">
        <f>MOD(G9-$C32,360)</f>
        <v>103.48548752212906</v>
      </c>
      <c r="K42" s="4">
        <f>MOD(K9-$C32,360)</f>
        <v>173.53044007192506</v>
      </c>
      <c r="M42" s="4">
        <f>MOD(M9-$C32,360)</f>
        <v>10.701995417589472</v>
      </c>
      <c r="Q42" s="57">
        <f>MOD(Q9-$C32,360)</f>
        <v>132.46637966006102</v>
      </c>
      <c r="T42" s="29"/>
      <c r="U42" s="57"/>
    </row>
    <row r="43" spans="1:21" x14ac:dyDescent="0.3">
      <c r="A43" t="s">
        <v>55</v>
      </c>
      <c r="C43" s="4">
        <f>C42-C17</f>
        <v>0.24732143542092899</v>
      </c>
      <c r="G43" s="4">
        <f>G42-G17</f>
        <v>-0.20451247787093507</v>
      </c>
      <c r="K43" s="4">
        <f>K42-K17</f>
        <v>-17.389559928074931</v>
      </c>
      <c r="M43" s="4">
        <f>M42-M17</f>
        <v>2.9419954175894727</v>
      </c>
      <c r="Q43" s="57">
        <f>Q42-Q17</f>
        <v>-0.91362033993897285</v>
      </c>
      <c r="T43" s="29"/>
      <c r="U43" s="57"/>
    </row>
    <row r="44" spans="1:21" x14ac:dyDescent="0.3">
      <c r="A44" t="s">
        <v>56</v>
      </c>
      <c r="B44">
        <f>AVERAGE(B43:G43)</f>
        <v>2.140447877499696E-2</v>
      </c>
      <c r="C44" s="4"/>
      <c r="G44" s="4"/>
      <c r="T44" s="29"/>
      <c r="U44" s="29"/>
    </row>
    <row r="45" spans="1:21" x14ac:dyDescent="0.3">
      <c r="A45" t="s">
        <v>57</v>
      </c>
      <c r="B45">
        <f>STDEV(B43:G43)</f>
        <v>0.31949482405873159</v>
      </c>
      <c r="C45" s="4"/>
      <c r="G45" s="4"/>
      <c r="T45" s="29"/>
      <c r="U45" s="29"/>
    </row>
    <row r="46" spans="1:21" x14ac:dyDescent="0.3">
      <c r="C46" s="4"/>
      <c r="G46" s="4"/>
      <c r="T46" s="29"/>
      <c r="U46" s="29"/>
    </row>
    <row r="47" spans="1:21" x14ac:dyDescent="0.3">
      <c r="A47" t="s">
        <v>44</v>
      </c>
      <c r="B47" s="9">
        <f>-C36*SIN((C42)/180*PI())</f>
        <v>-6.6468811157745531</v>
      </c>
      <c r="C47" s="9">
        <f>C36*COS((C42)/180*PI())</f>
        <v>-12.63220978133149</v>
      </c>
      <c r="F47" s="9">
        <f>-G36*SIN((G42)/180*PI())</f>
        <v>-4.5940203353761282</v>
      </c>
      <c r="G47" s="9">
        <f>G36*COS((G42)/180*PI())</f>
        <v>-1.1016960856932996</v>
      </c>
      <c r="J47" s="9">
        <f>-K36*SIN((K42)/180*PI())</f>
        <v>-0.11835419530903886</v>
      </c>
      <c r="K47" s="9">
        <f>K36*COS((K42)/180*PI())</f>
        <v>-1.0437111243122201</v>
      </c>
      <c r="L47" s="9">
        <f>-M36*SIN((M42)/180*PI())</f>
        <v>-0.42687502282849438</v>
      </c>
      <c r="M47" s="9">
        <f>M36*COS((M42)/180*PI())</f>
        <v>2.258741036012831</v>
      </c>
      <c r="P47" s="9">
        <f>-Q36*SIN((Q42)/180*PI())</f>
        <v>-4.0991262533460571</v>
      </c>
      <c r="Q47" s="9">
        <f>Q36*COS((Q42)/180*PI())</f>
        <v>-3.7517345932608808</v>
      </c>
      <c r="T47" s="9"/>
      <c r="U47" s="9"/>
    </row>
    <row r="48" spans="1:21" s="10" customFormat="1" x14ac:dyDescent="0.3">
      <c r="A48" t="s">
        <v>45</v>
      </c>
      <c r="B48" s="9">
        <f t="shared" ref="B48:G48" si="2">B47-B18</f>
        <v>0.11350938834227264</v>
      </c>
      <c r="C48" s="9">
        <f t="shared" si="2"/>
        <v>8.2235555837058882E-2</v>
      </c>
      <c r="D48" s="49"/>
      <c r="E48" s="49"/>
      <c r="F48" s="9">
        <f t="shared" si="2"/>
        <v>-8.0982735749771884E-2</v>
      </c>
      <c r="G48" s="9">
        <f t="shared" si="2"/>
        <v>-2.3705541246146211E-3</v>
      </c>
      <c r="H48" s="49"/>
      <c r="I48" s="49"/>
      <c r="J48" s="9">
        <f>J47-J18</f>
        <v>-0.32730452959543538</v>
      </c>
      <c r="K48" s="9">
        <f>K47-K18</f>
        <v>3.9316464349122837E-2</v>
      </c>
      <c r="L48" s="9">
        <f>L47-L18</f>
        <v>-0.11132424578387384</v>
      </c>
      <c r="M48" s="9">
        <f>M47-M18</f>
        <v>-5.6857527449008849E-2</v>
      </c>
      <c r="N48" s="49"/>
      <c r="O48" s="49"/>
      <c r="P48" s="9">
        <f>P47-P18</f>
        <v>-9.9466249771630544E-2</v>
      </c>
      <c r="Q48" s="9">
        <f>Q47-Q18</f>
        <v>2.7912064272997306E-2</v>
      </c>
      <c r="T48" s="9"/>
      <c r="U48" s="9"/>
    </row>
    <row r="49" spans="1:21" x14ac:dyDescent="0.3">
      <c r="A49" t="s">
        <v>46</v>
      </c>
      <c r="B49">
        <f t="shared" ref="B49:G49" si="3">B48^2</f>
        <v>1.288438124183686E-2</v>
      </c>
      <c r="C49">
        <f t="shared" si="3"/>
        <v>6.7626866438300296E-3</v>
      </c>
      <c r="F49">
        <f t="shared" si="3"/>
        <v>6.5582034895173809E-3</v>
      </c>
      <c r="G49">
        <f t="shared" si="3"/>
        <v>5.6195268577273926E-6</v>
      </c>
      <c r="J49" s="29">
        <f>J48^2</f>
        <v>0.10712825509368923</v>
      </c>
      <c r="K49" s="29">
        <f>K48^2</f>
        <v>1.545784368915847E-3</v>
      </c>
      <c r="L49" s="29">
        <f>L48^2</f>
        <v>1.2393087699348352E-2</v>
      </c>
      <c r="M49" s="29">
        <f>M48^2</f>
        <v>3.2327784276147947E-3</v>
      </c>
      <c r="P49" s="29">
        <f>P48^2</f>
        <v>9.8935348436323938E-3</v>
      </c>
      <c r="Q49" s="29">
        <f>Q48^2</f>
        <v>7.7908333197993266E-4</v>
      </c>
      <c r="T49" s="29"/>
      <c r="U49" s="29"/>
    </row>
    <row r="50" spans="1:21" s="10" customFormat="1" x14ac:dyDescent="0.3">
      <c r="A50" t="s">
        <v>47</v>
      </c>
      <c r="B50" s="9"/>
      <c r="C50" s="9">
        <f>SQRT(B49+C49)</f>
        <v>0.14016799879311573</v>
      </c>
      <c r="D50" s="49"/>
      <c r="E50" s="49"/>
      <c r="F50" s="9"/>
      <c r="G50" s="9">
        <f>SQRT(F49+G49)</f>
        <v>8.101742415292594E-2</v>
      </c>
      <c r="H50" s="49"/>
      <c r="I50" s="49"/>
      <c r="J50" s="9"/>
      <c r="K50" s="9">
        <f>SQRT(J49+K49)</f>
        <v>0.32965745776882566</v>
      </c>
      <c r="L50" s="9"/>
      <c r="M50" s="9">
        <f>SQRT(L49+M49)</f>
        <v>0.12500346445984267</v>
      </c>
      <c r="N50" s="49"/>
      <c r="O50" s="49"/>
      <c r="P50" s="9"/>
      <c r="Q50" s="9">
        <f>SQRT(P49+Q49)</f>
        <v>0.10330836449974574</v>
      </c>
      <c r="T50" s="9"/>
      <c r="U50" s="9"/>
    </row>
    <row r="51" spans="1:21" s="10" customFormat="1" x14ac:dyDescent="0.3">
      <c r="A51" t="s">
        <v>48</v>
      </c>
      <c r="B51" s="9"/>
      <c r="C51" s="11">
        <f>C50/C36</f>
        <v>9.8196512742052232E-3</v>
      </c>
      <c r="D51" s="49"/>
      <c r="E51" s="49"/>
      <c r="G51" s="11">
        <f>G50/G36</f>
        <v>1.7149182745279622E-2</v>
      </c>
      <c r="H51" s="49"/>
      <c r="I51" s="49"/>
      <c r="J51" s="29"/>
      <c r="K51" s="11">
        <f>K50/K36</f>
        <v>0.31383985916706619</v>
      </c>
      <c r="L51" s="29"/>
      <c r="M51" s="11">
        <f>M50/M36</f>
        <v>5.4379494359024456E-2</v>
      </c>
      <c r="N51" s="49"/>
      <c r="O51" s="49"/>
      <c r="P51" s="29"/>
      <c r="Q51" s="11">
        <f>Q50/Q36</f>
        <v>1.8591244135843375E-2</v>
      </c>
      <c r="T51" s="29"/>
      <c r="U51" s="11"/>
    </row>
    <row r="52" spans="1:21" s="10" customFormat="1" x14ac:dyDescent="0.3">
      <c r="A52"/>
      <c r="B52" s="9"/>
      <c r="C52" s="12"/>
      <c r="D52" s="49"/>
      <c r="E52" s="49"/>
      <c r="G52" s="11"/>
      <c r="H52" s="49"/>
      <c r="I52" s="49"/>
      <c r="J52" s="29"/>
      <c r="K52" s="29"/>
      <c r="L52" s="29"/>
      <c r="M52" s="29"/>
      <c r="N52" s="49"/>
      <c r="O52" s="49"/>
      <c r="P52" s="29"/>
      <c r="Q52" s="29"/>
    </row>
    <row r="53" spans="1:21" s="10" customFormat="1" x14ac:dyDescent="0.3">
      <c r="A53" t="s">
        <v>89</v>
      </c>
      <c r="B53" s="9">
        <f>MEDIAN(C50,G50,M50,Q50)</f>
        <v>0.1141559144797942</v>
      </c>
      <c r="C53" s="12"/>
      <c r="D53" s="49"/>
      <c r="E53" s="49"/>
      <c r="G53" s="11"/>
      <c r="H53" s="49"/>
      <c r="I53" s="49"/>
      <c r="J53" s="29"/>
      <c r="K53" s="29"/>
      <c r="L53" s="29"/>
      <c r="M53" s="29"/>
      <c r="N53" s="49"/>
      <c r="O53" s="49"/>
      <c r="P53" s="29"/>
      <c r="Q53" s="29"/>
    </row>
    <row r="54" spans="1:21" s="10" customFormat="1" x14ac:dyDescent="0.3">
      <c r="A54" t="s">
        <v>81</v>
      </c>
      <c r="B54" s="9">
        <f>AVERAGE(C50,G50,M50,Q50)</f>
        <v>0.11237431297640751</v>
      </c>
      <c r="C54" s="12"/>
      <c r="D54" s="49"/>
      <c r="E54" s="49"/>
      <c r="G54" s="11"/>
      <c r="H54" s="49"/>
      <c r="I54" s="49"/>
      <c r="J54" s="29"/>
      <c r="K54" s="29"/>
      <c r="L54" s="29"/>
      <c r="M54" s="29"/>
      <c r="N54" s="49"/>
      <c r="O54" s="49"/>
      <c r="P54" s="29"/>
      <c r="Q54" s="29"/>
    </row>
    <row r="55" spans="1:21" s="10" customFormat="1" x14ac:dyDescent="0.3">
      <c r="A55" t="s">
        <v>82</v>
      </c>
      <c r="B55" s="9">
        <f>STDEV(C50,G50,M50,Q50)</f>
        <v>2.5803296539648506E-2</v>
      </c>
      <c r="C55" s="12"/>
      <c r="D55" s="49"/>
      <c r="E55" s="49"/>
      <c r="G55" s="11"/>
      <c r="H55" s="49"/>
      <c r="I55" s="49"/>
      <c r="J55" s="29"/>
      <c r="K55" s="29"/>
      <c r="L55" s="29"/>
      <c r="M55" s="29"/>
      <c r="N55" s="49"/>
      <c r="O55" s="49"/>
      <c r="P55" s="29"/>
      <c r="Q55" s="29"/>
    </row>
    <row r="56" spans="1:21" s="10" customFormat="1" x14ac:dyDescent="0.3">
      <c r="A56" t="s">
        <v>83</v>
      </c>
      <c r="B56" s="42">
        <f>COUNT(B50:G50)</f>
        <v>2</v>
      </c>
      <c r="C56" s="12"/>
      <c r="D56" s="49"/>
      <c r="E56" s="49"/>
      <c r="G56" s="11"/>
      <c r="H56" s="49"/>
      <c r="I56" s="49"/>
      <c r="J56" s="29"/>
      <c r="K56" s="29"/>
      <c r="L56" s="29"/>
      <c r="M56" s="29"/>
      <c r="N56" s="49"/>
      <c r="O56" s="49"/>
      <c r="P56" s="29"/>
      <c r="Q56" s="29"/>
    </row>
    <row r="57" spans="1:21" s="10" customFormat="1" x14ac:dyDescent="0.3">
      <c r="A57"/>
      <c r="B57" s="9"/>
      <c r="C57" s="9"/>
      <c r="D57" s="49"/>
      <c r="E57" s="49"/>
      <c r="H57" s="49"/>
      <c r="I57" s="49"/>
      <c r="J57" s="29"/>
      <c r="K57" s="29"/>
      <c r="L57" s="29"/>
      <c r="M57" s="29"/>
      <c r="N57" s="49"/>
      <c r="O57" s="49"/>
      <c r="P57" s="29"/>
      <c r="Q57" s="29"/>
    </row>
    <row r="58" spans="1:21" s="10" customFormat="1" x14ac:dyDescent="0.3">
      <c r="B58" s="7"/>
      <c r="C58" s="7"/>
      <c r="D58" s="49"/>
      <c r="E58" s="49"/>
      <c r="F58" s="7"/>
      <c r="G58" s="7"/>
      <c r="H58" s="49"/>
      <c r="I58" s="49"/>
      <c r="J58" s="29"/>
      <c r="K58" s="29"/>
      <c r="L58" s="29"/>
      <c r="M58" s="29"/>
      <c r="N58" s="49"/>
      <c r="O58" s="49"/>
      <c r="P58" s="29"/>
      <c r="Q58" s="29"/>
    </row>
    <row r="59" spans="1:21" x14ac:dyDescent="0.3">
      <c r="A59" s="7"/>
    </row>
    <row r="60" spans="1:21" x14ac:dyDescent="0.3">
      <c r="A60" s="10"/>
    </row>
    <row r="61" spans="1:21" x14ac:dyDescent="0.3">
      <c r="A61" s="10"/>
    </row>
    <row r="62" spans="1:21" x14ac:dyDescent="0.3">
      <c r="A62" s="10"/>
    </row>
  </sheetData>
  <mergeCells count="11">
    <mergeCell ref="B34:C34"/>
    <mergeCell ref="B10:C10"/>
    <mergeCell ref="D10:E10"/>
    <mergeCell ref="F10:G10"/>
    <mergeCell ref="R10:S10"/>
    <mergeCell ref="B19:C19"/>
    <mergeCell ref="F19:G19"/>
    <mergeCell ref="H10:I10"/>
    <mergeCell ref="J10:K10"/>
    <mergeCell ref="L10:M10"/>
    <mergeCell ref="P10:Q10"/>
  </mergeCells>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2"/>
  <sheetViews>
    <sheetView workbookViewId="0">
      <pane xSplit="1" ySplit="2" topLeftCell="B5" activePane="bottomRight" state="frozenSplit"/>
      <selection pane="topRight"/>
      <selection pane="bottomLeft" activeCell="A3" sqref="A3"/>
      <selection pane="bottomRight" activeCell="M17" sqref="M17"/>
    </sheetView>
  </sheetViews>
  <sheetFormatPr defaultRowHeight="14.4" x14ac:dyDescent="0.3"/>
  <cols>
    <col min="1" max="1" width="28" customWidth="1"/>
    <col min="2" max="3" width="11.6640625" customWidth="1"/>
    <col min="4" max="5" width="9.109375" style="49" customWidth="1"/>
    <col min="6" max="7" width="11.6640625" customWidth="1"/>
    <col min="8" max="11" width="9.109375" style="49" customWidth="1"/>
    <col min="12" max="13" width="9.109375" style="74" customWidth="1"/>
    <col min="14" max="15" width="9.109375" style="63" customWidth="1"/>
    <col min="16" max="17" width="9.109375" style="74" customWidth="1"/>
    <col min="18" max="18" width="9.109375" style="63" customWidth="1"/>
    <col min="19" max="19" width="10.5546875" style="63" customWidth="1"/>
    <col min="20" max="21" width="9.109375" style="29" customWidth="1"/>
    <col min="22" max="23" width="9.109375" style="49" customWidth="1"/>
    <col min="24" max="25" width="9.109375" style="29" customWidth="1"/>
    <col min="26" max="27" width="9.109375" style="49" customWidth="1"/>
  </cols>
  <sheetData>
    <row r="1" spans="1:27" s="19" customFormat="1" x14ac:dyDescent="0.3">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7" s="13" customFormat="1" x14ac:dyDescent="0.3">
      <c r="B2" s="27"/>
      <c r="C2" s="27" t="s">
        <v>113</v>
      </c>
      <c r="D2" s="48"/>
      <c r="E2" s="48" t="s">
        <v>111</v>
      </c>
      <c r="G2" s="13" t="s">
        <v>114</v>
      </c>
      <c r="H2" s="48"/>
      <c r="I2" s="48" t="s">
        <v>112</v>
      </c>
      <c r="J2" s="48"/>
      <c r="K2" s="48" t="s">
        <v>133</v>
      </c>
      <c r="L2" s="82"/>
      <c r="M2" s="83" t="s">
        <v>75</v>
      </c>
      <c r="N2" s="61"/>
      <c r="O2" s="61" t="s">
        <v>134</v>
      </c>
      <c r="P2" s="83"/>
      <c r="Q2" s="83" t="s">
        <v>76</v>
      </c>
      <c r="R2" s="61"/>
      <c r="S2" s="62" t="s">
        <v>135</v>
      </c>
      <c r="T2" s="55"/>
      <c r="U2" s="55" t="s">
        <v>138</v>
      </c>
      <c r="V2" s="48"/>
      <c r="W2" s="48" t="s">
        <v>139</v>
      </c>
      <c r="X2" s="55"/>
      <c r="Y2" s="55" t="s">
        <v>140</v>
      </c>
      <c r="Z2" s="48"/>
      <c r="AA2" s="48" t="s">
        <v>139</v>
      </c>
    </row>
    <row r="3" spans="1:27" s="13" customFormat="1" x14ac:dyDescent="0.3">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7" x14ac:dyDescent="0.3">
      <c r="A4" t="s">
        <v>1</v>
      </c>
      <c r="B4">
        <v>538</v>
      </c>
      <c r="C4">
        <v>453</v>
      </c>
      <c r="D4" s="49">
        <v>920</v>
      </c>
      <c r="E4" s="49">
        <v>410</v>
      </c>
      <c r="F4">
        <v>614</v>
      </c>
      <c r="G4">
        <v>484</v>
      </c>
      <c r="H4" s="49">
        <v>665</v>
      </c>
      <c r="I4" s="49">
        <v>230</v>
      </c>
      <c r="J4" s="48">
        <v>635</v>
      </c>
      <c r="K4" s="48">
        <v>481</v>
      </c>
      <c r="L4" s="73">
        <v>630</v>
      </c>
      <c r="M4" s="74">
        <v>462</v>
      </c>
      <c r="N4" s="63">
        <v>963</v>
      </c>
      <c r="O4" s="63">
        <v>366</v>
      </c>
      <c r="P4" s="74">
        <v>596</v>
      </c>
      <c r="Q4" s="74">
        <v>493</v>
      </c>
      <c r="R4" s="63">
        <v>948</v>
      </c>
      <c r="S4" s="64">
        <v>440</v>
      </c>
      <c r="T4" s="29">
        <v>804</v>
      </c>
      <c r="U4" s="29">
        <v>445</v>
      </c>
      <c r="V4" s="49">
        <v>942</v>
      </c>
      <c r="W4" s="49">
        <v>408</v>
      </c>
      <c r="X4" s="29">
        <v>654</v>
      </c>
      <c r="Y4" s="29">
        <v>357</v>
      </c>
      <c r="Z4" s="48">
        <v>665</v>
      </c>
      <c r="AA4" s="48">
        <v>245</v>
      </c>
    </row>
    <row r="5" spans="1:27" x14ac:dyDescent="0.3">
      <c r="A5" t="s">
        <v>2</v>
      </c>
      <c r="B5">
        <v>537</v>
      </c>
      <c r="C5">
        <v>445</v>
      </c>
      <c r="D5" s="49">
        <v>408</v>
      </c>
      <c r="E5" s="49">
        <v>599</v>
      </c>
      <c r="F5">
        <v>604</v>
      </c>
      <c r="G5">
        <v>486</v>
      </c>
      <c r="H5" s="49">
        <v>722</v>
      </c>
      <c r="I5" s="49">
        <v>764</v>
      </c>
      <c r="J5" s="49">
        <v>628</v>
      </c>
      <c r="K5" s="49">
        <v>475</v>
      </c>
      <c r="L5" s="73">
        <v>626</v>
      </c>
      <c r="M5" s="74">
        <v>482</v>
      </c>
      <c r="N5" s="63">
        <v>494</v>
      </c>
      <c r="O5" s="63">
        <v>376</v>
      </c>
      <c r="P5" s="74">
        <v>616</v>
      </c>
      <c r="Q5" s="74">
        <v>496</v>
      </c>
      <c r="R5" s="63">
        <v>473</v>
      </c>
      <c r="S5" s="64">
        <v>450</v>
      </c>
      <c r="T5" s="29">
        <v>794</v>
      </c>
      <c r="U5" s="29">
        <v>443</v>
      </c>
      <c r="V5" s="49">
        <v>422</v>
      </c>
      <c r="W5" s="49">
        <v>411</v>
      </c>
      <c r="X5" s="29">
        <v>654</v>
      </c>
      <c r="Y5" s="29">
        <v>366</v>
      </c>
      <c r="Z5" s="49">
        <v>732</v>
      </c>
      <c r="AA5" s="49">
        <v>752</v>
      </c>
    </row>
    <row r="6" spans="1:27" x14ac:dyDescent="0.3">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U6" si="1">L5-L4</f>
        <v>-4</v>
      </c>
      <c r="M6" s="74">
        <f t="shared" si="1"/>
        <v>20</v>
      </c>
      <c r="N6" s="63">
        <f t="shared" si="1"/>
        <v>-469</v>
      </c>
      <c r="O6" s="63">
        <f t="shared" si="1"/>
        <v>10</v>
      </c>
      <c r="P6" s="74">
        <f t="shared" si="1"/>
        <v>20</v>
      </c>
      <c r="Q6" s="74">
        <f t="shared" si="1"/>
        <v>3</v>
      </c>
      <c r="R6" s="63">
        <f t="shared" si="1"/>
        <v>-475</v>
      </c>
      <c r="S6" s="64">
        <f t="shared" si="1"/>
        <v>10</v>
      </c>
      <c r="T6" s="29">
        <f t="shared" si="1"/>
        <v>-10</v>
      </c>
      <c r="U6" s="74">
        <f t="shared" si="1"/>
        <v>-2</v>
      </c>
      <c r="V6" s="63">
        <f t="shared" ref="V6:AA6" si="2">V5-V4</f>
        <v>-520</v>
      </c>
      <c r="W6" s="63">
        <f t="shared" si="2"/>
        <v>3</v>
      </c>
      <c r="X6" s="29">
        <f t="shared" si="2"/>
        <v>0</v>
      </c>
      <c r="Y6" s="74">
        <f t="shared" si="2"/>
        <v>9</v>
      </c>
      <c r="Z6" s="63">
        <f t="shared" si="2"/>
        <v>67</v>
      </c>
      <c r="AA6" s="63">
        <f t="shared" si="2"/>
        <v>507</v>
      </c>
    </row>
    <row r="7" spans="1:27" x14ac:dyDescent="0.3">
      <c r="A7" t="s">
        <v>5</v>
      </c>
      <c r="B7">
        <f t="shared" ref="B7:I7" si="3">B6^2</f>
        <v>1</v>
      </c>
      <c r="C7">
        <f t="shared" si="3"/>
        <v>64</v>
      </c>
      <c r="D7" s="49">
        <f t="shared" si="3"/>
        <v>262144</v>
      </c>
      <c r="E7" s="49">
        <f t="shared" si="3"/>
        <v>35721</v>
      </c>
      <c r="F7">
        <f t="shared" si="3"/>
        <v>100</v>
      </c>
      <c r="G7">
        <f t="shared" si="3"/>
        <v>4</v>
      </c>
      <c r="H7" s="49">
        <f t="shared" si="3"/>
        <v>3249</v>
      </c>
      <c r="I7" s="49">
        <f t="shared" si="3"/>
        <v>285156</v>
      </c>
      <c r="J7" s="49">
        <f>J6^2</f>
        <v>49</v>
      </c>
      <c r="K7" s="49">
        <f>K6^2</f>
        <v>36</v>
      </c>
      <c r="L7" s="73">
        <f t="shared" ref="L7:U7" si="4">L6^2</f>
        <v>16</v>
      </c>
      <c r="M7" s="74">
        <f t="shared" si="4"/>
        <v>400</v>
      </c>
      <c r="N7" s="63">
        <f t="shared" si="4"/>
        <v>219961</v>
      </c>
      <c r="O7" s="63">
        <f t="shared" si="4"/>
        <v>100</v>
      </c>
      <c r="P7" s="74">
        <f t="shared" si="4"/>
        <v>400</v>
      </c>
      <c r="Q7" s="74">
        <f t="shared" si="4"/>
        <v>9</v>
      </c>
      <c r="R7" s="63">
        <f t="shared" si="4"/>
        <v>225625</v>
      </c>
      <c r="S7" s="64">
        <f t="shared" si="4"/>
        <v>100</v>
      </c>
      <c r="T7" s="29">
        <f t="shared" si="4"/>
        <v>100</v>
      </c>
      <c r="U7" s="74">
        <f t="shared" si="4"/>
        <v>4</v>
      </c>
      <c r="V7" s="63">
        <f t="shared" ref="V7:AA7" si="5">V6^2</f>
        <v>270400</v>
      </c>
      <c r="W7" s="63">
        <f t="shared" si="5"/>
        <v>9</v>
      </c>
      <c r="X7" s="29">
        <f t="shared" si="5"/>
        <v>0</v>
      </c>
      <c r="Y7" s="74">
        <f t="shared" si="5"/>
        <v>81</v>
      </c>
      <c r="Z7" s="63">
        <f t="shared" si="5"/>
        <v>4489</v>
      </c>
      <c r="AA7" s="63">
        <f t="shared" si="5"/>
        <v>257049</v>
      </c>
    </row>
    <row r="8" spans="1:27" x14ac:dyDescent="0.3">
      <c r="A8" t="s">
        <v>6</v>
      </c>
      <c r="C8">
        <f>SQRT(SUM(B7:C7))</f>
        <v>8.0622577482985491</v>
      </c>
      <c r="E8" s="49">
        <f>SQRT(SUM(D7:E7))</f>
        <v>545.7700981182461</v>
      </c>
      <c r="G8">
        <f>SQRT(SUM(F7:G7))</f>
        <v>10.198039027185569</v>
      </c>
      <c r="I8" s="49">
        <f>SQRT(SUM(H7:I7))</f>
        <v>537.03351850699221</v>
      </c>
      <c r="K8" s="49">
        <f>SQRT(SUM(J7:K7))</f>
        <v>9.2195444572928871</v>
      </c>
      <c r="L8" s="73"/>
      <c r="M8" s="74">
        <f>SQRT(SUM(L7:M7))</f>
        <v>20.396078054371138</v>
      </c>
      <c r="O8" s="63">
        <f>SQRT(SUM(N7:O7))</f>
        <v>469.10659769395699</v>
      </c>
      <c r="Q8" s="74">
        <f>SQRT(SUM(P7:Q7))</f>
        <v>20.223748416156685</v>
      </c>
      <c r="S8" s="64">
        <f>SQRT(SUM(R7:S7))</f>
        <v>475.10525149697094</v>
      </c>
      <c r="U8" s="74">
        <f>SQRT(SUM(T7:U7))</f>
        <v>10.198039027185569</v>
      </c>
      <c r="V8" s="63"/>
      <c r="W8" s="63">
        <f>SQRT(SUM(V7:W7))</f>
        <v>520.0086537741463</v>
      </c>
      <c r="Y8" s="74">
        <f>SQRT(SUM(X7:Y7))</f>
        <v>9</v>
      </c>
      <c r="Z8" s="63"/>
      <c r="AA8" s="63">
        <f>SQRT(SUM(Z7:AA7))</f>
        <v>511.40786071393154</v>
      </c>
    </row>
    <row r="9" spans="1:27" x14ac:dyDescent="0.3">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258.69006752597977</v>
      </c>
      <c r="O9" s="63">
        <f>MOD(ATAN2(O6,N6)*180/PI()+270,360)</f>
        <v>181.22147332969774</v>
      </c>
      <c r="Q9" s="74">
        <f>MOD(ATAN2(Q6,P6)*180/PI()+270,360)</f>
        <v>351.46923439005189</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row>
    <row r="10" spans="1:27" s="17" customFormat="1" ht="117" customHeight="1" x14ac:dyDescent="0.3">
      <c r="A10" s="16" t="s">
        <v>40</v>
      </c>
      <c r="B10" s="393"/>
      <c r="C10" s="393"/>
      <c r="D10" s="395"/>
      <c r="E10" s="395"/>
      <c r="F10" s="393"/>
      <c r="G10" s="393"/>
      <c r="H10" s="395"/>
      <c r="I10" s="395"/>
      <c r="J10" s="49"/>
      <c r="K10" s="49"/>
      <c r="L10" s="84"/>
      <c r="M10" s="85"/>
      <c r="N10" s="65"/>
      <c r="O10" s="65"/>
      <c r="P10" s="85"/>
      <c r="Q10" s="85"/>
      <c r="R10" s="65"/>
      <c r="S10" s="66"/>
      <c r="T10" s="389"/>
      <c r="U10" s="389"/>
      <c r="V10" s="108"/>
      <c r="W10" s="108"/>
      <c r="X10" s="107"/>
      <c r="Y10" s="107"/>
      <c r="Z10" s="108"/>
      <c r="AA10" s="108"/>
    </row>
    <row r="11" spans="1:27" s="19" customFormat="1" x14ac:dyDescent="0.3">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7" s="1" customFormat="1" x14ac:dyDescent="0.3">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7" x14ac:dyDescent="0.3">
      <c r="A13" t="s">
        <v>18</v>
      </c>
      <c r="L13" s="73"/>
      <c r="S13" s="64"/>
    </row>
    <row r="14" spans="1:27" x14ac:dyDescent="0.3">
      <c r="A14" t="s">
        <v>17</v>
      </c>
      <c r="L14" s="73"/>
      <c r="S14" s="64"/>
    </row>
    <row r="15" spans="1:27" x14ac:dyDescent="0.3">
      <c r="A15" t="s">
        <v>14</v>
      </c>
      <c r="L15" s="73"/>
      <c r="S15" s="64"/>
    </row>
    <row r="16" spans="1:27" x14ac:dyDescent="0.3">
      <c r="A16" t="s">
        <v>13</v>
      </c>
      <c r="C16">
        <v>1.129</v>
      </c>
      <c r="E16" s="53">
        <f>5*15*COS((31+36/60)*PI()/180)</f>
        <v>63.879520060728574</v>
      </c>
      <c r="G16">
        <v>1.129</v>
      </c>
      <c r="H16" s="53"/>
      <c r="I16" s="53">
        <f>5*15*COS((31+36/60)*PI()/180)</f>
        <v>63.879520060728574</v>
      </c>
      <c r="J16" s="53"/>
      <c r="K16" s="53">
        <v>2.5</v>
      </c>
      <c r="L16" s="73"/>
      <c r="M16" s="90">
        <v>2.3530000000000002</v>
      </c>
      <c r="O16" s="63">
        <f>5*15*COS((39+40/60)*PI()/180)</f>
        <v>57.732828365352589</v>
      </c>
      <c r="Q16" s="90">
        <v>2.35</v>
      </c>
      <c r="S16" s="64">
        <f>5*15*COS((39+40/60)*PI()/180)</f>
        <v>57.732828365352589</v>
      </c>
      <c r="U16" s="29">
        <v>0.98799999999999999</v>
      </c>
      <c r="W16" s="53">
        <f>5*15*COS((32+54/60)*PI()/180)</f>
        <v>62.971489840080991</v>
      </c>
      <c r="Y16" s="29">
        <v>0.98799999999999999</v>
      </c>
      <c r="AA16" s="53">
        <f>5*15*COS((32+54/60)*PI()/180)</f>
        <v>62.971489840080991</v>
      </c>
    </row>
    <row r="17" spans="1:27" x14ac:dyDescent="0.3">
      <c r="A17" t="s">
        <v>7</v>
      </c>
      <c r="C17">
        <v>193.66</v>
      </c>
      <c r="E17" s="49">
        <v>-90</v>
      </c>
      <c r="G17">
        <v>193.66</v>
      </c>
      <c r="I17" s="49">
        <v>-90</v>
      </c>
      <c r="K17" s="49">
        <v>274</v>
      </c>
      <c r="L17" s="73"/>
      <c r="M17" s="74">
        <v>348.03</v>
      </c>
      <c r="O17" s="63">
        <v>-90</v>
      </c>
      <c r="Q17" s="74">
        <v>78.2</v>
      </c>
      <c r="S17" s="64">
        <v>-90</v>
      </c>
      <c r="U17" s="29">
        <v>260.60000000000002</v>
      </c>
      <c r="W17" s="49">
        <v>-90</v>
      </c>
      <c r="Y17" s="29">
        <v>260.60000000000002</v>
      </c>
      <c r="AA17" s="49">
        <v>-90</v>
      </c>
    </row>
    <row r="18" spans="1:27" x14ac:dyDescent="0.3">
      <c r="A18" t="s">
        <v>32</v>
      </c>
      <c r="B18" s="9">
        <f>-C16*SIN((C17)/180*PI())</f>
        <v>0.26662443583744866</v>
      </c>
      <c r="C18" s="9">
        <f>C16*COS((C17)/180*PI())</f>
        <v>-1.097065362781253</v>
      </c>
      <c r="D18" s="9">
        <f>-E16*SIN((E17)/180*PI())</f>
        <v>63.879520060728574</v>
      </c>
      <c r="E18" s="9">
        <f>E16*COS((E17)/180*PI())</f>
        <v>3.9130947651352902E-15</v>
      </c>
      <c r="F18" s="9">
        <f>-G16*SIN((G17)/180*PI())</f>
        <v>0.26662443583744866</v>
      </c>
      <c r="G18" s="9">
        <f>G16*COS((G17)/180*PI())</f>
        <v>-1.097065362781253</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-2.3003383635899599</v>
      </c>
      <c r="Q18" s="72">
        <f>Q16*COS((Q17)/180*PI())</f>
        <v>0.48056572182820706</v>
      </c>
      <c r="R18" s="97">
        <f>-S16*SIN((S17)/180*PI())</f>
        <v>57.732828365352589</v>
      </c>
      <c r="S18" s="98">
        <f>S16*COS((S17)/180*PI())</f>
        <v>3.5365642734658139E-15</v>
      </c>
      <c r="T18" s="9">
        <f>-U16*SIN((U17)/180*PI())</f>
        <v>0.97473329566768585</v>
      </c>
      <c r="U18" s="9">
        <f>U16*COS((U17)/180*PI())</f>
        <v>-0.16136605069472251</v>
      </c>
      <c r="V18" s="9">
        <f>-W16*SIN((W17)/180*PI())</f>
        <v>62.971489840080991</v>
      </c>
      <c r="W18" s="9">
        <f>W16*COS((W17)/180*PI())</f>
        <v>3.8574711740434546E-15</v>
      </c>
      <c r="X18" s="9">
        <f>-Y16*SIN((Y17)/180*PI())</f>
        <v>0.97473329566768585</v>
      </c>
      <c r="Y18" s="9">
        <f>Y16*COS((Y17)/180*PI())</f>
        <v>-0.16136605069472251</v>
      </c>
      <c r="Z18" s="9">
        <f>-AA16*SIN((AA17)/180*PI())</f>
        <v>62.971489840080991</v>
      </c>
      <c r="AA18" s="9">
        <f>AA16*COS((AA17)/180*PI())</f>
        <v>3.8574711740434546E-15</v>
      </c>
    </row>
    <row r="19" spans="1:27" s="14" customFormat="1" ht="69" customHeight="1" x14ac:dyDescent="0.3">
      <c r="A19" s="15" t="s">
        <v>40</v>
      </c>
      <c r="B19" s="389"/>
      <c r="C19" s="389"/>
      <c r="D19" s="51"/>
      <c r="E19" s="51"/>
      <c r="F19" s="390"/>
      <c r="G19" s="390"/>
      <c r="H19" s="51"/>
      <c r="I19" s="51"/>
      <c r="J19" s="51"/>
      <c r="K19" s="51"/>
      <c r="L19" s="84"/>
      <c r="M19" s="85"/>
      <c r="N19" s="65"/>
      <c r="O19" s="65"/>
      <c r="P19" s="85"/>
      <c r="Q19" s="85"/>
      <c r="R19" s="65"/>
      <c r="S19" s="66"/>
      <c r="T19" s="21"/>
      <c r="U19" s="21"/>
      <c r="V19" s="51"/>
      <c r="W19" s="51"/>
      <c r="X19" s="21"/>
      <c r="Y19" s="21"/>
      <c r="Z19" s="51"/>
      <c r="AA19" s="51"/>
    </row>
    <row r="20" spans="1:27" s="19" customFormat="1" x14ac:dyDescent="0.3">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7" x14ac:dyDescent="0.3">
      <c r="A21" s="7" t="s">
        <v>65</v>
      </c>
      <c r="C21">
        <f>C16/C8</f>
        <v>0.14003521535121635</v>
      </c>
      <c r="E21">
        <f>E16/E8</f>
        <v>0.11704474151474764</v>
      </c>
      <c r="G21">
        <f>G16/G8</f>
        <v>0.1107075582855049</v>
      </c>
      <c r="I21">
        <f>I16/I8</f>
        <v>0.11894885115983102</v>
      </c>
      <c r="J21"/>
      <c r="K21">
        <f>K16/K8</f>
        <v>0.2711630722733202</v>
      </c>
      <c r="L21" s="73"/>
      <c r="M21" s="74">
        <f>M16/M8</f>
        <v>0.11536531649503677</v>
      </c>
      <c r="O21" s="63">
        <f>O16/O8</f>
        <v>0.12306974288819793</v>
      </c>
      <c r="Q21" s="74">
        <f>Q16/Q8</f>
        <v>0.11620002146202496</v>
      </c>
      <c r="S21" s="64">
        <f>S16/S8</f>
        <v>0.12151587081693344</v>
      </c>
      <c r="T21"/>
      <c r="U21">
        <f>U16/U8</f>
        <v>9.6881370758262919E-2</v>
      </c>
      <c r="W21" s="64">
        <f>W16/W8</f>
        <v>0.121097003642234</v>
      </c>
      <c r="X21"/>
      <c r="Y21">
        <f>Y16/Y8</f>
        <v>0.10977777777777778</v>
      </c>
      <c r="AA21" s="64">
        <f>AA16/AA8</f>
        <v>0.12313359781402662</v>
      </c>
    </row>
    <row r="22" spans="1:27" x14ac:dyDescent="0.3">
      <c r="A22" t="s">
        <v>34</v>
      </c>
      <c r="B22">
        <f>STDEV(B21:E21)</f>
        <v>1.6256719952458927E-2</v>
      </c>
      <c r="C22">
        <f>AVERAGE(B21:E21)</f>
        <v>0.12853997843298198</v>
      </c>
      <c r="E22" s="49">
        <f>AVERAGE(E21,I21)</f>
        <v>0.11799679633728932</v>
      </c>
      <c r="F22">
        <f>STDEV(F21:I21)</f>
        <v>5.827474077180375E-3</v>
      </c>
      <c r="G22">
        <f>AVERAGE(F21:I21)</f>
        <v>0.11482820472266796</v>
      </c>
      <c r="J22">
        <f>STDEV(J21:M21)</f>
        <v>0.11016564960446981</v>
      </c>
      <c r="K22">
        <f>AVERAGE(J21:M21)</f>
        <v>0.19326419438417849</v>
      </c>
      <c r="L22" s="73">
        <f>STDEV(L21:S21)</f>
        <v>3.8269883954543957E-3</v>
      </c>
      <c r="M22" s="74">
        <f>AVERAGE(L21:S21)</f>
        <v>0.11903773791554827</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row>
    <row r="23" spans="1:27" x14ac:dyDescent="0.3">
      <c r="A23" t="s">
        <v>35</v>
      </c>
      <c r="C23">
        <f>C21-$C22</f>
        <v>1.1495236918234369E-2</v>
      </c>
      <c r="G23">
        <f>G21-$G22</f>
        <v>-4.1206464371630613E-3</v>
      </c>
      <c r="J23"/>
      <c r="K23">
        <f>K21-$G22</f>
        <v>0.15633486755065223</v>
      </c>
      <c r="L23" s="73"/>
      <c r="M23" s="74">
        <f>M21-$M22</f>
        <v>-3.6724214205114958E-3</v>
      </c>
      <c r="O23" s="63">
        <f>O21-$M22</f>
        <v>4.032004972649661E-3</v>
      </c>
      <c r="Q23" s="74">
        <f>Q21-$M22</f>
        <v>-2.8377164535233063E-3</v>
      </c>
      <c r="S23" s="64">
        <f>S21-$M22</f>
        <v>2.4781329013851688E-3</v>
      </c>
      <c r="T23"/>
      <c r="U23">
        <f>U21-$G22</f>
        <v>-1.7946833964405037E-2</v>
      </c>
      <c r="W23" s="64">
        <f>W21-$M22</f>
        <v>2.05926572668573E-3</v>
      </c>
      <c r="X23"/>
      <c r="Y23">
        <f>Y21-$G22</f>
        <v>-5.0504269448901767E-3</v>
      </c>
      <c r="AA23" s="64">
        <f>AA21-$M22</f>
        <v>4.0958598984783545E-3</v>
      </c>
    </row>
    <row r="24" spans="1:27" x14ac:dyDescent="0.3">
      <c r="A24" s="7" t="s">
        <v>64</v>
      </c>
      <c r="C24" s="29">
        <f>MOD(C9-C17,360)</f>
        <v>263.46501634890183</v>
      </c>
      <c r="E24" s="29">
        <f>MOD(E9-E17,360)</f>
        <v>290.26115211083066</v>
      </c>
      <c r="G24">
        <f>MOD(G9-G17,360)</f>
        <v>357.64993247402026</v>
      </c>
      <c r="I24" s="29">
        <f>MOD(I9-I17,360)+360</f>
        <v>366.09277165733607</v>
      </c>
      <c r="J24"/>
      <c r="K24">
        <f>MOD(K9-K17,360)</f>
        <v>225.39870535499551</v>
      </c>
      <c r="L24" s="73"/>
      <c r="M24" s="74">
        <f>MOD(M9-M17,360)</f>
        <v>270.6600675259798</v>
      </c>
      <c r="O24" s="63">
        <f>MOD(O9-O17,360)</f>
        <v>271.22147332969774</v>
      </c>
      <c r="Q24" s="74">
        <f>MOD(Q9-Q17,360)</f>
        <v>273.26923439005191</v>
      </c>
      <c r="S24" s="64">
        <f>MOD(S9-S17,360)</f>
        <v>271.20604877921994</v>
      </c>
      <c r="T24"/>
      <c r="U24">
        <f>MOD(U9-U17,360)</f>
        <v>268.09006752597975</v>
      </c>
      <c r="W24" s="64">
        <f>MOD(W9-W17,360)</f>
        <v>270.33054890681393</v>
      </c>
      <c r="X24"/>
      <c r="Y24">
        <f>MOD(Y9-Y17,360)</f>
        <v>9.3999999999999773</v>
      </c>
      <c r="AA24" s="64">
        <f>MOD(AA9-AA17,360)</f>
        <v>7.5280117904609369</v>
      </c>
    </row>
    <row r="25" spans="1:27" x14ac:dyDescent="0.3">
      <c r="A25" t="s">
        <v>36</v>
      </c>
      <c r="B25">
        <f>STDEV(B24:E24)</f>
        <v>18.947729306855237</v>
      </c>
      <c r="C25">
        <f>AVERAGE(B24:E24)</f>
        <v>276.86308422986622</v>
      </c>
      <c r="F25">
        <f>STDEV(F24:I24)</f>
        <v>5.969988838990103</v>
      </c>
      <c r="G25">
        <f>AVERAGE(F24:I24)</f>
        <v>361.87135206567814</v>
      </c>
      <c r="J25">
        <f>STDEV(J24:M24)</f>
        <v>32.004616116843266</v>
      </c>
      <c r="K25">
        <f>AVERAGE(J24:M24)</f>
        <v>248.02938644048766</v>
      </c>
      <c r="L25" s="73">
        <f>STDEV(L24:S24)</f>
        <v>1.1500478929054092</v>
      </c>
      <c r="M25" s="74">
        <f>AVERAGE(L24:S24)</f>
        <v>271.5892060062373</v>
      </c>
      <c r="N25" s="63">
        <f>STDEV(O24,S24)</f>
        <v>1.090680423960886E-2</v>
      </c>
      <c r="O25" s="63">
        <f>AVERAGE(O24,S24)</f>
        <v>271.21376105445881</v>
      </c>
      <c r="S25" s="64"/>
      <c r="T25">
        <f>STDEV(T24:W24)</f>
        <v>1.5842595775100503</v>
      </c>
      <c r="U25">
        <f>AVERAGE(T24:W24)</f>
        <v>269.21030821639681</v>
      </c>
      <c r="W25" s="64"/>
      <c r="X25">
        <f>STDEV(X24:AA24)</f>
        <v>1.3236955572663205</v>
      </c>
      <c r="Y25">
        <f>AVERAGE(X24:AA24)</f>
        <v>8.4640058952304571</v>
      </c>
      <c r="AA25" s="64"/>
    </row>
    <row r="26" spans="1:27" x14ac:dyDescent="0.3">
      <c r="A26" t="s">
        <v>35</v>
      </c>
      <c r="C26">
        <f>C24-$C25</f>
        <v>-13.39806788096439</v>
      </c>
      <c r="E26" s="49">
        <f>E24-$C25</f>
        <v>13.398067880964447</v>
      </c>
      <c r="G26">
        <f>G24-$G25</f>
        <v>-4.2214195916578774</v>
      </c>
      <c r="I26" s="49">
        <f>I24-$G25</f>
        <v>4.2214195916579342</v>
      </c>
      <c r="J26"/>
      <c r="K26">
        <f>K24-$G25</f>
        <v>-136.47264671068262</v>
      </c>
      <c r="L26" s="73"/>
      <c r="M26" s="74">
        <f>M24-$M25</f>
        <v>-0.92913848025750667</v>
      </c>
      <c r="O26" s="63">
        <f>O24-$M25</f>
        <v>-0.36773267653956054</v>
      </c>
      <c r="Q26" s="74">
        <f>Q24-$M25</f>
        <v>1.6800283838146015</v>
      </c>
      <c r="S26" s="64">
        <f>S24-$M25</f>
        <v>-0.38315722701736377</v>
      </c>
      <c r="T26"/>
      <c r="U26">
        <f>U24-$G25</f>
        <v>-93.78128453969839</v>
      </c>
      <c r="W26" s="64">
        <f>W24-$M25</f>
        <v>-1.2586570994233739</v>
      </c>
      <c r="X26"/>
      <c r="Y26">
        <f>Y24-$G25</f>
        <v>-352.47135206567816</v>
      </c>
      <c r="AA26" s="64">
        <f>AA24-$M25</f>
        <v>-264.06119421577637</v>
      </c>
    </row>
    <row r="27" spans="1:27" x14ac:dyDescent="0.3">
      <c r="A27" t="s">
        <v>67</v>
      </c>
      <c r="C27">
        <f>SQRT(C16)</f>
        <v>1.0625441167311596</v>
      </c>
      <c r="E27" s="49">
        <f>SQRT(E16)</f>
        <v>7.9924664566533261</v>
      </c>
      <c r="G27">
        <f>SQRT(G16)</f>
        <v>1.0625441167311596</v>
      </c>
      <c r="I27" s="49">
        <f>SQRT(I16)</f>
        <v>7.9924664566533261</v>
      </c>
      <c r="J27"/>
      <c r="K27">
        <f>SQRT(K16)</f>
        <v>1.5811388300841898</v>
      </c>
      <c r="L27" s="73"/>
      <c r="M27" s="74">
        <f>SQRT(M16)</f>
        <v>1.5339491516996253</v>
      </c>
      <c r="O27" s="63">
        <f>SQRT(O16)</f>
        <v>7.5982121821750006</v>
      </c>
      <c r="Q27" s="74">
        <f>SQRT(Q16)</f>
        <v>1.5329709716755893</v>
      </c>
      <c r="S27" s="64">
        <f>SQRT(S16)</f>
        <v>7.5982121821750006</v>
      </c>
      <c r="T27"/>
      <c r="U27">
        <f>SQRT(U16)</f>
        <v>0.99398189118313418</v>
      </c>
      <c r="W27" s="64">
        <f>SQRT(W16)</f>
        <v>7.9354577586980444</v>
      </c>
      <c r="X27"/>
      <c r="Y27">
        <f>SQRT(Y16)</f>
        <v>0.99398189118313418</v>
      </c>
      <c r="AA27" s="64">
        <f>SQRT(AA16)</f>
        <v>7.9354577586980444</v>
      </c>
    </row>
    <row r="28" spans="1:27" x14ac:dyDescent="0.3">
      <c r="A28" t="s">
        <v>68</v>
      </c>
      <c r="C28">
        <f>C27*C21</f>
        <v>0.14879359420661589</v>
      </c>
      <c r="E28">
        <f>E27*E21</f>
        <v>0.93547617048427956</v>
      </c>
      <c r="G28">
        <f>G27*G21</f>
        <v>0.11763166473393516</v>
      </c>
      <c r="I28">
        <f>I27*I21</f>
        <v>0.95069470295239844</v>
      </c>
      <c r="J28"/>
      <c r="K28">
        <f>K27*K21</f>
        <v>0.4287464628562721</v>
      </c>
      <c r="L28" s="73"/>
      <c r="M28" s="74">
        <f>M27*M21</f>
        <v>0.17696452937312043</v>
      </c>
      <c r="O28" s="63">
        <f>O27*O21</f>
        <v>0.93511001967025065</v>
      </c>
      <c r="Q28" s="74">
        <f>Q27*Q21</f>
        <v>0.17813125980936473</v>
      </c>
      <c r="S28" s="64">
        <f>S27*S21</f>
        <v>0.92330336996882723</v>
      </c>
      <c r="T28"/>
      <c r="U28">
        <f>U27*U21</f>
        <v>9.6298328126712573E-2</v>
      </c>
      <c r="W28" s="64">
        <f>W27*W21</f>
        <v>0.9609601571078511</v>
      </c>
      <c r="X28"/>
      <c r="Y28">
        <f>Y27*Y21</f>
        <v>0.1091171231654374</v>
      </c>
      <c r="AA28" s="64">
        <f>AA27*AA21</f>
        <v>0.97712146412972212</v>
      </c>
    </row>
    <row r="29" spans="1:27" x14ac:dyDescent="0.3">
      <c r="A29" t="s">
        <v>69</v>
      </c>
      <c r="C29" s="7">
        <f>SUM(B28:E28)/SUM(B27:E27)</f>
        <v>0.11974251779207239</v>
      </c>
      <c r="G29" s="7">
        <f>SUM(F28:I28)/SUM(F27:I27)</f>
        <v>0.11798179129977825</v>
      </c>
      <c r="J29"/>
      <c r="K29" s="7">
        <f>SUM(J28:M28)/SUM(J27:M27)</f>
        <v>0.19444426474354021</v>
      </c>
      <c r="L29" s="73"/>
      <c r="M29" s="74">
        <f>SUM(L28:S28)/SUM(L27:S27)</f>
        <v>0.12119955248663583</v>
      </c>
      <c r="S29" s="64"/>
      <c r="T29"/>
      <c r="U29" s="7">
        <f>SUM(T28:W28)/SUM(T27:W27)</f>
        <v>0.11840143689740176</v>
      </c>
      <c r="W29" s="64"/>
      <c r="X29"/>
      <c r="Y29" s="7">
        <f>SUM(X28:AA28)/SUM(X27:AA27)</f>
        <v>0.12164689273750942</v>
      </c>
      <c r="AA29" s="64"/>
    </row>
    <row r="30" spans="1:27" x14ac:dyDescent="0.3">
      <c r="A30" t="s">
        <v>72</v>
      </c>
      <c r="C30" s="7">
        <f>C21-$C$29</f>
        <v>2.0292697559143966E-2</v>
      </c>
      <c r="E30" s="52">
        <f>E21-$C$29</f>
        <v>-2.6977762773247455E-3</v>
      </c>
      <c r="G30" s="7">
        <f>G21-$G$29</f>
        <v>-7.2742330142733513E-3</v>
      </c>
      <c r="I30" s="52">
        <f>I21-$G$29</f>
        <v>9.6705986005277134E-4</v>
      </c>
      <c r="J30"/>
      <c r="K30" s="7">
        <f>K21-$G$29</f>
        <v>0.15318128097354194</v>
      </c>
      <c r="L30" s="91"/>
      <c r="M30" s="92">
        <f>M21-$M$29</f>
        <v>-5.8342359915990599E-3</v>
      </c>
      <c r="N30" s="75"/>
      <c r="O30" s="75">
        <f>O21-$M$29</f>
        <v>1.8701904015620968E-3</v>
      </c>
      <c r="P30" s="92"/>
      <c r="Q30" s="92">
        <f>Q21-$M$29</f>
        <v>-4.9995310246108704E-3</v>
      </c>
      <c r="R30" s="75"/>
      <c r="S30" s="76">
        <f>S21-$M$29</f>
        <v>3.163183302976047E-4</v>
      </c>
      <c r="T30"/>
      <c r="U30" s="7">
        <f>U21-$G$29</f>
        <v>-2.1100420541515327E-2</v>
      </c>
      <c r="W30" s="76">
        <f>W21-$M$29</f>
        <v>-1.0254884440183409E-4</v>
      </c>
      <c r="X30"/>
      <c r="Y30" s="7">
        <f>Y21-$G$29</f>
        <v>-8.2040135220004667E-3</v>
      </c>
      <c r="AA30" s="76">
        <f>AA21-$M$29</f>
        <v>1.9340453273907904E-3</v>
      </c>
    </row>
    <row r="31" spans="1:27" x14ac:dyDescent="0.3">
      <c r="A31" t="s">
        <v>119</v>
      </c>
      <c r="C31">
        <f>C27*C24</f>
        <v>279.94320308600442</v>
      </c>
      <c r="E31" s="49">
        <f>E27*E24</f>
        <v>2319.9025219153627</v>
      </c>
      <c r="G31">
        <f>G27*G24</f>
        <v>380.01883159956674</v>
      </c>
      <c r="I31" s="49">
        <f>I27*I24</f>
        <v>2925.9841974945039</v>
      </c>
      <c r="J31"/>
      <c r="K31">
        <f>K27*K24</f>
        <v>356.38664528748859</v>
      </c>
      <c r="L31" s="73"/>
      <c r="M31" s="74">
        <f>M27*M24</f>
        <v>415.17878098044002</v>
      </c>
      <c r="O31" s="63">
        <f>O27*O24</f>
        <v>2060.7983027211612</v>
      </c>
      <c r="Q31" s="74">
        <f>Q27*Q24</f>
        <v>418.91380377196225</v>
      </c>
      <c r="S31" s="64">
        <f>S27*S24</f>
        <v>2060.6811037138164</v>
      </c>
      <c r="T31"/>
      <c r="U31">
        <f>U27*U24</f>
        <v>266.47667232688752</v>
      </c>
      <c r="W31" s="64">
        <f>W27*W24</f>
        <v>2145.1966517356777</v>
      </c>
      <c r="X31"/>
      <c r="Y31">
        <f>Y27*Y24</f>
        <v>9.3434297771214379</v>
      </c>
      <c r="AA31" s="64">
        <f>AA27*AA24</f>
        <v>59.738219570183595</v>
      </c>
    </row>
    <row r="32" spans="1:27" x14ac:dyDescent="0.3">
      <c r="A32" t="s">
        <v>120</v>
      </c>
      <c r="C32" s="7">
        <f>SUM(B31:E31)/SUM(B27:E27)</f>
        <v>287.11680720099088</v>
      </c>
      <c r="G32" s="7">
        <f>SUM(F31:I31)/SUM(F27:I27)</f>
        <v>365.10206170398624</v>
      </c>
      <c r="J32"/>
      <c r="K32" s="7">
        <f>SUM(J31:M31)/SUM(J27:M27)</f>
        <v>247.68655998797877</v>
      </c>
      <c r="L32" s="73"/>
      <c r="M32" s="74">
        <f>SUM(L31:S31)/SUM(L27:S27)</f>
        <v>271.33978634187281</v>
      </c>
      <c r="S32" s="64"/>
      <c r="T32"/>
      <c r="U32" s="7">
        <f>SUM(T31:W31)/SUM(T27:W27)</f>
        <v>270.0811493915698</v>
      </c>
      <c r="W32" s="64"/>
      <c r="X32"/>
      <c r="Y32" s="7">
        <f>SUM(X31:AA31)/SUM(X27:AA27)</f>
        <v>7.7363924340117221</v>
      </c>
      <c r="AA32" s="64"/>
    </row>
    <row r="33" spans="1:27" x14ac:dyDescent="0.3">
      <c r="A33" t="s">
        <v>121</v>
      </c>
      <c r="C33" s="7">
        <f>C24-$C$32</f>
        <v>-23.65179085208905</v>
      </c>
      <c r="E33" s="52">
        <f>E24-$C$32</f>
        <v>3.1443449098397878</v>
      </c>
      <c r="G33" s="7">
        <f>G24-$G$32</f>
        <v>-7.4521292299659763</v>
      </c>
      <c r="I33" s="52">
        <f>I24-$G$32</f>
        <v>0.99070995334983536</v>
      </c>
      <c r="J33"/>
      <c r="K33" s="7">
        <f>K24-$G$32</f>
        <v>-139.70335634899072</v>
      </c>
      <c r="L33" s="91"/>
      <c r="M33" s="92">
        <f>M24-$M$32</f>
        <v>-0.6797188158930112</v>
      </c>
      <c r="N33" s="75"/>
      <c r="O33" s="75">
        <f>O24-$M$32</f>
        <v>-0.11831301217506507</v>
      </c>
      <c r="P33" s="92"/>
      <c r="Q33" s="92">
        <f>Q24-$M$32</f>
        <v>1.929448048179097</v>
      </c>
      <c r="R33" s="75"/>
      <c r="S33" s="76">
        <f>S24-$M$32</f>
        <v>-0.13373756265286829</v>
      </c>
      <c r="T33"/>
      <c r="U33" s="7">
        <f>U24-$G$32</f>
        <v>-97.011994178006489</v>
      </c>
      <c r="W33" s="76">
        <f>W24-$M$32</f>
        <v>-1.0092374350588784</v>
      </c>
      <c r="X33"/>
      <c r="Y33" s="7">
        <f>Y24-$G$32</f>
        <v>-355.70206170398626</v>
      </c>
      <c r="AA33" s="76">
        <f>AA24-$M$32</f>
        <v>-263.81177455141187</v>
      </c>
    </row>
    <row r="34" spans="1:27" s="14" customFormat="1" ht="75.75" customHeight="1" x14ac:dyDescent="0.3">
      <c r="A34" s="15" t="s">
        <v>40</v>
      </c>
      <c r="B34" s="391"/>
      <c r="C34" s="391"/>
      <c r="D34" s="51"/>
      <c r="E34" s="51"/>
      <c r="H34" s="51"/>
      <c r="I34" s="51"/>
      <c r="J34" s="51"/>
      <c r="K34" s="51"/>
      <c r="L34" s="84"/>
      <c r="M34" s="85"/>
      <c r="N34" s="65"/>
      <c r="O34" s="65"/>
      <c r="P34" s="85"/>
      <c r="Q34" s="85"/>
      <c r="R34" s="65"/>
      <c r="S34" s="66"/>
      <c r="V34" s="51"/>
      <c r="W34" s="51"/>
      <c r="Z34" s="51"/>
      <c r="AA34" s="51"/>
    </row>
    <row r="35" spans="1:27" s="19" customFormat="1" x14ac:dyDescent="0.3">
      <c r="A35" s="20" t="s">
        <v>54</v>
      </c>
      <c r="B35" s="20"/>
      <c r="C35" s="20"/>
      <c r="D35" s="47"/>
      <c r="E35" s="47"/>
      <c r="F35" s="20"/>
      <c r="G35" s="20"/>
      <c r="H35" s="47"/>
      <c r="I35" s="47"/>
      <c r="J35" s="47"/>
      <c r="K35" s="47"/>
      <c r="L35" s="400" t="s">
        <v>136</v>
      </c>
      <c r="M35" s="401"/>
      <c r="N35" s="402" t="s">
        <v>137</v>
      </c>
      <c r="O35" s="402"/>
      <c r="P35" s="401" t="s">
        <v>136</v>
      </c>
      <c r="Q35" s="401"/>
      <c r="R35" s="402" t="s">
        <v>137</v>
      </c>
      <c r="S35" s="403"/>
      <c r="T35" s="20"/>
      <c r="U35" s="20"/>
      <c r="V35" s="47"/>
      <c r="W35" s="47"/>
      <c r="X35" s="20"/>
      <c r="Y35" s="20"/>
      <c r="Z35" s="47"/>
      <c r="AA35" s="47"/>
    </row>
    <row r="36" spans="1:27" x14ac:dyDescent="0.3">
      <c r="A36" s="7" t="s">
        <v>42</v>
      </c>
      <c r="C36" s="4">
        <f>C8*$C29</f>
        <v>0.96539504186991243</v>
      </c>
      <c r="E36" s="49">
        <f>C8*E22</f>
        <v>0.95132058554471666</v>
      </c>
      <c r="G36" s="4">
        <f>G8*$C29</f>
        <v>1.2211388696570165</v>
      </c>
      <c r="I36" s="49">
        <f>G8*E22</f>
        <v>1.2033359341305436</v>
      </c>
      <c r="K36" s="4"/>
      <c r="L36" s="73"/>
      <c r="M36" s="93">
        <f>M8*$M29</f>
        <v>2.4719955326722758</v>
      </c>
      <c r="O36" s="101">
        <f>M8*O22</f>
        <v>2.4942936340530633</v>
      </c>
      <c r="Q36" s="93">
        <f>Q8*$M29</f>
        <v>2.4511092576405002</v>
      </c>
      <c r="S36" s="102">
        <f>Q8*O22</f>
        <v>2.4732189588919309</v>
      </c>
      <c r="T36"/>
      <c r="U36" s="4">
        <f>U8*$C29</f>
        <v>1.2211388696570165</v>
      </c>
      <c r="W36" s="4"/>
      <c r="X36"/>
      <c r="Y36" s="4">
        <f>Y8*$C29</f>
        <v>1.0776826601286515</v>
      </c>
      <c r="AA36" s="4"/>
    </row>
    <row r="37" spans="1:27" x14ac:dyDescent="0.3">
      <c r="A37" t="s">
        <v>50</v>
      </c>
      <c r="C37" s="4">
        <f>C36-C16</f>
        <v>-0.16360495813008757</v>
      </c>
      <c r="G37" s="4">
        <f>G36-G16</f>
        <v>9.2138869657016453E-2</v>
      </c>
      <c r="K37" s="4"/>
      <c r="L37" s="73"/>
      <c r="M37" s="93">
        <f>M36-M16</f>
        <v>0.11899553267227558</v>
      </c>
      <c r="O37" s="101">
        <f>O36-M16</f>
        <v>0.14129363405306306</v>
      </c>
      <c r="Q37" s="93">
        <f>Q36-Q16</f>
        <v>0.10110925764050016</v>
      </c>
      <c r="S37" s="102">
        <f>S36-Q16</f>
        <v>0.1232189588919308</v>
      </c>
      <c r="T37"/>
      <c r="U37" s="4">
        <f>U36-U16</f>
        <v>0.23313886965701647</v>
      </c>
      <c r="X37"/>
      <c r="Y37" s="4">
        <f>Y36-Y16</f>
        <v>8.9682660128651559E-2</v>
      </c>
    </row>
    <row r="38" spans="1:27" x14ac:dyDescent="0.3">
      <c r="A38" t="s">
        <v>51</v>
      </c>
      <c r="C38" s="23">
        <f>C37/C16</f>
        <v>-0.14491138895490485</v>
      </c>
      <c r="G38" s="23">
        <f>G37/G16</f>
        <v>8.161104486892512E-2</v>
      </c>
      <c r="K38" s="23"/>
      <c r="L38" s="73"/>
      <c r="M38" s="94">
        <f>M37/M16</f>
        <v>5.0571837089789871E-2</v>
      </c>
      <c r="O38" s="99">
        <f>O37/M16</f>
        <v>6.0048293265220161E-2</v>
      </c>
      <c r="Q38" s="94">
        <f>Q37/Q16</f>
        <v>4.3025216017234108E-2</v>
      </c>
      <c r="S38" s="103">
        <f>S37/Q16</f>
        <v>5.2433599528481187E-2</v>
      </c>
      <c r="T38"/>
      <c r="U38" s="23">
        <f>U37/U16</f>
        <v>0.23597051584718265</v>
      </c>
      <c r="X38"/>
      <c r="Y38" s="23">
        <f>Y37/Y16</f>
        <v>9.0771923207137201E-2</v>
      </c>
    </row>
    <row r="39" spans="1:27" x14ac:dyDescent="0.3">
      <c r="A39" s="29" t="s">
        <v>53</v>
      </c>
      <c r="B39">
        <f>AVERAGE(B37:G37)</f>
        <v>-3.5733044236535561E-2</v>
      </c>
      <c r="C39" s="23">
        <f>AVERAGE(C38:G38)</f>
        <v>-3.1650172042989866E-2</v>
      </c>
      <c r="G39" s="23"/>
      <c r="K39" s="23"/>
      <c r="L39" s="100">
        <f>AVERAGE(M37,Q37)</f>
        <v>0.11005239515638787</v>
      </c>
      <c r="M39" s="94">
        <f>AVERAGE(M37,Q37)</f>
        <v>0.11005239515638787</v>
      </c>
      <c r="Q39" s="94"/>
      <c r="S39" s="64"/>
      <c r="T39"/>
      <c r="U39" s="23"/>
      <c r="X39"/>
      <c r="Y39" s="23"/>
    </row>
    <row r="40" spans="1:27" x14ac:dyDescent="0.3">
      <c r="A40" s="29" t="s">
        <v>52</v>
      </c>
      <c r="B40">
        <f>STDEV(B37:G37)</f>
        <v>0.18083819487486585</v>
      </c>
      <c r="C40" s="23">
        <f>STDEV(C38:G38)</f>
        <v>0.16017554904771111</v>
      </c>
      <c r="G40" s="23"/>
      <c r="K40" s="23"/>
      <c r="L40" s="73">
        <f>STDEV(M37,Q37)</f>
        <v>1.2647506365136032E-2</v>
      </c>
      <c r="M40" s="94">
        <f>STDEV(M37,Q37)</f>
        <v>1.2647506365136032E-2</v>
      </c>
      <c r="Q40" s="94"/>
      <c r="S40" s="64"/>
      <c r="T40"/>
      <c r="U40" s="23"/>
      <c r="X40"/>
      <c r="Y40" s="23"/>
    </row>
    <row r="41" spans="1:27" x14ac:dyDescent="0.3">
      <c r="C41" s="23"/>
      <c r="G41" s="4"/>
      <c r="K41" s="4"/>
      <c r="L41" s="73"/>
      <c r="M41" s="93"/>
      <c r="Q41" s="93"/>
      <c r="S41" s="64"/>
      <c r="T41"/>
      <c r="U41" s="4"/>
      <c r="X41"/>
      <c r="Y41" s="4"/>
    </row>
    <row r="42" spans="1:27" x14ac:dyDescent="0.3">
      <c r="A42" s="7" t="s">
        <v>43</v>
      </c>
      <c r="C42" s="4">
        <f>MOD(C9-$C32,360)</f>
        <v>170.00820914791092</v>
      </c>
      <c r="E42" s="4">
        <f>MOD(C9-$E24,360)</f>
        <v>166.86386423807113</v>
      </c>
      <c r="G42" s="4">
        <f>MOD(G9-$G32,360)</f>
        <v>186.20787077003399</v>
      </c>
      <c r="I42" s="4">
        <f>MOD(G9-$I24,360)</f>
        <v>185.21716081668416</v>
      </c>
      <c r="K42" s="4"/>
      <c r="L42" s="73"/>
      <c r="M42" s="93">
        <f>MOD(M9-$M32,360)</f>
        <v>347.35028118410696</v>
      </c>
      <c r="O42" s="101">
        <f>MOD(M9-$O25,360)</f>
        <v>347.47630647152096</v>
      </c>
      <c r="Q42" s="93">
        <f>MOD(Q9-$M32,360)</f>
        <v>80.129448048179086</v>
      </c>
      <c r="S42" s="102">
        <f>MOD(Q9-$O25,360)</f>
        <v>80.255473335593081</v>
      </c>
      <c r="T42"/>
      <c r="U42" s="4">
        <f>MOD(U9-$U32,360)</f>
        <v>258.60891813440998</v>
      </c>
      <c r="X42"/>
      <c r="Y42" s="4">
        <f>MOD(Y9-$Y32,360)</f>
        <v>262.26360756598825</v>
      </c>
    </row>
    <row r="43" spans="1:27" x14ac:dyDescent="0.3">
      <c r="A43" t="s">
        <v>55</v>
      </c>
      <c r="C43" s="4">
        <f>C42-C17</f>
        <v>-23.651790852089078</v>
      </c>
      <c r="G43" s="4">
        <f>G42-G17</f>
        <v>-7.4521292299660047</v>
      </c>
      <c r="K43" s="4"/>
      <c r="L43" s="73"/>
      <c r="M43" s="93">
        <f>M42-M17</f>
        <v>-0.6797188158930112</v>
      </c>
      <c r="O43" s="101">
        <f>O42-M17</f>
        <v>-0.55369352847901609</v>
      </c>
      <c r="Q43" s="93">
        <f>Q42-Q17</f>
        <v>1.9294480481790828</v>
      </c>
      <c r="S43" s="102">
        <f>S42-Q17</f>
        <v>2.0554733355930779</v>
      </c>
      <c r="T43"/>
      <c r="U43" s="4">
        <f>U42-U17</f>
        <v>-1.9910818655900471</v>
      </c>
      <c r="X43"/>
      <c r="Y43" s="4">
        <f>Y42-Y17</f>
        <v>1.6636075659882295</v>
      </c>
    </row>
    <row r="44" spans="1:27" x14ac:dyDescent="0.3">
      <c r="A44" t="s">
        <v>56</v>
      </c>
      <c r="B44">
        <f>AVERAGE(B43:G43)</f>
        <v>-15.551960041027542</v>
      </c>
      <c r="C44" s="4"/>
      <c r="E44" s="106">
        <f>AVERAGE(E42,I42)</f>
        <v>176.04051252737764</v>
      </c>
      <c r="G44" s="4"/>
      <c r="I44" s="106"/>
      <c r="L44" s="100">
        <f>AVERAGE(M43,Q43)</f>
        <v>0.62486461614303579</v>
      </c>
      <c r="S44" s="64"/>
      <c r="T44"/>
      <c r="U44" s="4"/>
      <c r="X44"/>
      <c r="Y44" s="4"/>
    </row>
    <row r="45" spans="1:27" x14ac:dyDescent="0.3">
      <c r="A45" t="s">
        <v>57</v>
      </c>
      <c r="B45">
        <f>STDEV(B43:G43)</f>
        <v>11.454890585930693</v>
      </c>
      <c r="C45" s="4"/>
      <c r="G45" s="4"/>
      <c r="L45" s="73">
        <f>STDEV(M43,Q43)</f>
        <v>1.8449595828326166</v>
      </c>
      <c r="S45" s="64"/>
      <c r="T45"/>
      <c r="U45" s="4"/>
      <c r="X45"/>
      <c r="Y45" s="4"/>
    </row>
    <row r="46" spans="1:27" x14ac:dyDescent="0.3">
      <c r="C46" s="4"/>
      <c r="G46" s="4"/>
      <c r="L46" s="73"/>
      <c r="S46" s="64"/>
      <c r="T46"/>
      <c r="U46" s="4"/>
      <c r="X46"/>
      <c r="Y46" s="4"/>
    </row>
    <row r="47" spans="1:27" x14ac:dyDescent="0.3">
      <c r="A47" t="s">
        <v>44</v>
      </c>
      <c r="B47" s="9">
        <f>-C36*SIN((C42)/180*PI())</f>
        <v>-0.16750287082217272</v>
      </c>
      <c r="C47" s="9">
        <f>C36*COS((C42)/180*PI())</f>
        <v>-0.95075253096341561</v>
      </c>
      <c r="F47" s="9">
        <f>-G36*SIN((G42)/180*PI())</f>
        <v>0.13204897762301634</v>
      </c>
      <c r="G47" s="9">
        <f>G36*COS((G42)/180*PI())</f>
        <v>-1.2139782561874541</v>
      </c>
      <c r="L47" s="71">
        <f>-M36*SIN((M42)/180*PI())</f>
        <v>0.54134234569474826</v>
      </c>
      <c r="M47" s="72">
        <f>M36*COS((M42)/180*PI())</f>
        <v>2.4119930303194073</v>
      </c>
      <c r="N47" s="97">
        <f>-O36*SIN((O42)/180*PI())</f>
        <v>0.54087092061838193</v>
      </c>
      <c r="O47" s="97">
        <f>O36*COS((O42)/180*PI())</f>
        <v>2.4349454573166645</v>
      </c>
      <c r="P47" s="72">
        <f>-Q36*SIN((Q42)/180*PI())</f>
        <v>-2.4148268639555068</v>
      </c>
      <c r="Q47" s="72">
        <f>Q36*COS((Q42)/180*PI())</f>
        <v>0.42017592745155646</v>
      </c>
      <c r="R47" s="97">
        <f>-S36*SIN((S42)/180*PI())</f>
        <v>-2.4375359298721966</v>
      </c>
      <c r="S47" s="98">
        <f>S36*COS((S42)/180*PI())</f>
        <v>0.41860555324144044</v>
      </c>
      <c r="T47" s="9">
        <f>-U36*SIN((U42)/180*PI())</f>
        <v>1.1970847886124818</v>
      </c>
      <c r="U47" s="9">
        <f>U36*COS((U42)/180*PI())</f>
        <v>-0.24118073691699696</v>
      </c>
      <c r="X47" s="9">
        <f>-Y36*SIN((Y42)/180*PI())</f>
        <v>1.0678734805959587</v>
      </c>
      <c r="Y47" s="9">
        <f>Y36*COS((Y42)/180*PI())</f>
        <v>-0.14507289678585586</v>
      </c>
    </row>
    <row r="48" spans="1:27" s="10" customFormat="1" x14ac:dyDescent="0.3">
      <c r="A48" t="s">
        <v>45</v>
      </c>
      <c r="B48" s="9">
        <f t="shared" ref="B48:G48" si="6">B47-B18</f>
        <v>-0.4341273066596214</v>
      </c>
      <c r="C48" s="9">
        <f t="shared" si="6"/>
        <v>0.14631283181783739</v>
      </c>
      <c r="D48" s="49"/>
      <c r="E48" s="49"/>
      <c r="F48" s="9">
        <f t="shared" si="6"/>
        <v>-0.13457545821443231</v>
      </c>
      <c r="G48" s="9">
        <f t="shared" si="6"/>
        <v>-0.11691289340620115</v>
      </c>
      <c r="H48" s="49"/>
      <c r="I48" s="49"/>
      <c r="J48" s="49"/>
      <c r="K48" s="49"/>
      <c r="L48" s="71">
        <f>L47-L18</f>
        <v>5.3331309359183954E-2</v>
      </c>
      <c r="M48" s="72">
        <f>M47-M18</f>
        <v>0.11015588829248069</v>
      </c>
      <c r="N48" s="97">
        <f>N47-L18</f>
        <v>5.2859884282817626E-2</v>
      </c>
      <c r="O48" s="97">
        <f>O47-M18</f>
        <v>0.13310831528973788</v>
      </c>
      <c r="P48" s="72">
        <f>P47-P18</f>
        <v>-0.11448850036554692</v>
      </c>
      <c r="Q48" s="72">
        <f>Q47-Q18</f>
        <v>-6.0389794376650596E-2</v>
      </c>
      <c r="R48" s="97">
        <f>R47-P18</f>
        <v>-0.13719756628223667</v>
      </c>
      <c r="S48" s="98">
        <f>S47-Q18</f>
        <v>-6.1960168586766617E-2</v>
      </c>
      <c r="T48" s="9">
        <f>T47-T18</f>
        <v>0.22235149294479595</v>
      </c>
      <c r="U48" s="9">
        <f>U47-U18</f>
        <v>-7.9814686222274445E-2</v>
      </c>
      <c r="V48" s="49"/>
      <c r="W48" s="49"/>
      <c r="X48" s="9">
        <f>X47-X18</f>
        <v>9.3140184928272807E-2</v>
      </c>
      <c r="Y48" s="9">
        <f>Y47-Y18</f>
        <v>1.6293153908866653E-2</v>
      </c>
      <c r="Z48" s="49"/>
      <c r="AA48" s="49"/>
    </row>
    <row r="49" spans="1:27" x14ac:dyDescent="0.3">
      <c r="A49" t="s">
        <v>46</v>
      </c>
      <c r="B49">
        <f t="shared" ref="B49:G49" si="7">B48^2</f>
        <v>0.18846651838753697</v>
      </c>
      <c r="C49">
        <f t="shared" si="7"/>
        <v>2.1407444754554767E-2</v>
      </c>
      <c r="F49">
        <f t="shared" si="7"/>
        <v>1.8110553953624417E-2</v>
      </c>
      <c r="G49">
        <f t="shared" si="7"/>
        <v>1.3668624644609752E-2</v>
      </c>
      <c r="L49" s="73">
        <f t="shared" ref="L49:U49" si="8">L48^2</f>
        <v>2.8442285579649818E-3</v>
      </c>
      <c r="M49" s="74">
        <f t="shared" si="8"/>
        <v>1.2134319725505483E-2</v>
      </c>
      <c r="N49" s="63">
        <f t="shared" si="8"/>
        <v>2.7941673663928698E-3</v>
      </c>
      <c r="O49" s="63">
        <f t="shared" si="8"/>
        <v>1.7717823599272268E-2</v>
      </c>
      <c r="P49" s="74">
        <f t="shared" si="8"/>
        <v>1.3107616715951837E-2</v>
      </c>
      <c r="Q49" s="74">
        <f t="shared" si="8"/>
        <v>3.6469272648541398E-3</v>
      </c>
      <c r="R49" s="63">
        <f t="shared" si="8"/>
        <v>1.8823172193768726E-2</v>
      </c>
      <c r="S49" s="64">
        <f t="shared" si="8"/>
        <v>3.8390624913005409E-3</v>
      </c>
      <c r="T49">
        <f t="shared" si="8"/>
        <v>4.9440186414779645E-2</v>
      </c>
      <c r="U49">
        <f t="shared" si="8"/>
        <v>6.3703841367601264E-3</v>
      </c>
      <c r="X49">
        <f>X48^2</f>
        <v>8.6750940484728572E-3</v>
      </c>
      <c r="Y49">
        <f>Y48^2</f>
        <v>2.6546686429801668E-4</v>
      </c>
    </row>
    <row r="50" spans="1:27" s="10" customFormat="1" x14ac:dyDescent="0.3">
      <c r="A50" t="s">
        <v>47</v>
      </c>
      <c r="B50" s="9"/>
      <c r="C50" s="9">
        <f>SQRT(B49+C49)</f>
        <v>0.45812003136960922</v>
      </c>
      <c r="D50" s="49"/>
      <c r="E50" s="49"/>
      <c r="F50" s="9"/>
      <c r="G50" s="9">
        <f>SQRT(F49+G49)</f>
        <v>0.17826715513025435</v>
      </c>
      <c r="H50" s="49"/>
      <c r="I50" s="49"/>
      <c r="J50" s="49"/>
      <c r="K50" s="49"/>
      <c r="L50" s="71"/>
      <c r="M50" s="72">
        <f>SQRT(L49+M49)</f>
        <v>0.12238687953972217</v>
      </c>
      <c r="N50" s="97"/>
      <c r="O50" s="97">
        <f>SQRT(N49+O49)</f>
        <v>0.1432200787797058</v>
      </c>
      <c r="P50" s="72"/>
      <c r="Q50" s="72">
        <f>SQRT(P49+Q49)</f>
        <v>0.1294393447944093</v>
      </c>
      <c r="R50" s="97"/>
      <c r="S50" s="98">
        <f>SQRT(R49+S49)</f>
        <v>0.15053981096397481</v>
      </c>
      <c r="T50" s="9"/>
      <c r="U50" s="9">
        <f>SQRT(T49+U49)</f>
        <v>0.23624260951729215</v>
      </c>
      <c r="V50" s="49"/>
      <c r="W50" s="49"/>
      <c r="X50" s="9"/>
      <c r="Y50" s="9">
        <f>SQRT(X49+Y49)</f>
        <v>9.4554539355711925E-2</v>
      </c>
      <c r="Z50" s="49"/>
      <c r="AA50" s="49"/>
    </row>
    <row r="51" spans="1:27" s="10" customFormat="1" x14ac:dyDescent="0.3">
      <c r="A51" t="s">
        <v>48</v>
      </c>
      <c r="B51" s="9"/>
      <c r="C51" s="11">
        <f>C50/C36</f>
        <v>0.47454152082888074</v>
      </c>
      <c r="D51" s="49"/>
      <c r="E51" s="49"/>
      <c r="G51" s="11">
        <f>G50/G36</f>
        <v>0.14598434261643362</v>
      </c>
      <c r="H51" s="49"/>
      <c r="I51" s="49"/>
      <c r="J51" s="49"/>
      <c r="K51" s="49"/>
      <c r="L51" s="71"/>
      <c r="M51" s="77">
        <f>M50/M36</f>
        <v>4.9509344949106582E-2</v>
      </c>
      <c r="N51" s="97"/>
      <c r="O51" s="104">
        <f>O50/O36</f>
        <v>5.7419093255264654E-2</v>
      </c>
      <c r="P51" s="72"/>
      <c r="Q51" s="77">
        <f>Q50/Q36</f>
        <v>5.2808476158672291E-2</v>
      </c>
      <c r="R51" s="97"/>
      <c r="S51" s="105">
        <f>S50/S36</f>
        <v>6.08679674004362E-2</v>
      </c>
      <c r="U51" s="11">
        <f>U50/U36</f>
        <v>0.1934608875267774</v>
      </c>
      <c r="V51" s="49"/>
      <c r="W51" s="49"/>
      <c r="Y51" s="11">
        <f>Y50/Y36</f>
        <v>8.7738759148657169E-2</v>
      </c>
      <c r="Z51" s="49"/>
      <c r="AA51" s="49"/>
    </row>
    <row r="52" spans="1:27" s="10" customFormat="1" x14ac:dyDescent="0.3">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7" s="10" customFormat="1" x14ac:dyDescent="0.3">
      <c r="A53" t="s">
        <v>89</v>
      </c>
      <c r="B53" s="9">
        <f>MEDIAN(B50:G50)</f>
        <v>0.31819359324993179</v>
      </c>
      <c r="C53" s="12"/>
      <c r="D53" s="49"/>
      <c r="E53" s="49"/>
      <c r="G53" s="11"/>
      <c r="H53" s="49"/>
      <c r="I53" s="49"/>
      <c r="J53" s="49"/>
      <c r="K53" s="49"/>
      <c r="L53" s="73">
        <f>MEDIAN(M50,Q50)</f>
        <v>0.12591311216706574</v>
      </c>
      <c r="M53" s="74"/>
      <c r="N53" s="63">
        <f>MEDIAN(O50,S50)</f>
        <v>0.14687994487184031</v>
      </c>
      <c r="O53" s="63"/>
      <c r="P53" s="74"/>
      <c r="Q53" s="74"/>
      <c r="R53" s="63"/>
      <c r="S53" s="64"/>
      <c r="T53" s="9">
        <f>MEDIAN(T50:Y50)</f>
        <v>0.16539857443650202</v>
      </c>
      <c r="U53" s="29"/>
      <c r="V53" s="49"/>
      <c r="W53" s="49"/>
      <c r="X53" s="29"/>
      <c r="Y53" s="29"/>
      <c r="Z53" s="49"/>
      <c r="AA53" s="49"/>
    </row>
    <row r="54" spans="1:27" s="10" customFormat="1" x14ac:dyDescent="0.3">
      <c r="A54" t="s">
        <v>81</v>
      </c>
      <c r="B54" s="9">
        <f>AVERAGE(B50:G50)</f>
        <v>0.31819359324993179</v>
      </c>
      <c r="C54" s="12"/>
      <c r="D54" s="49"/>
      <c r="E54" s="49"/>
      <c r="G54" s="11"/>
      <c r="H54" s="49"/>
      <c r="I54" s="49"/>
      <c r="J54" s="49"/>
      <c r="K54" s="49"/>
      <c r="L54" s="73">
        <f>AVERAGE(M50,Q50)</f>
        <v>0.12591311216706574</v>
      </c>
      <c r="M54" s="74"/>
      <c r="N54" s="63">
        <f>AVERAGE(O50,S50)</f>
        <v>0.14687994487184031</v>
      </c>
      <c r="O54" s="63"/>
      <c r="P54" s="74"/>
      <c r="Q54" s="74"/>
      <c r="R54" s="63"/>
      <c r="S54" s="64"/>
      <c r="T54" s="9">
        <f>AVERAGE(T50:Y50)</f>
        <v>0.16539857443650202</v>
      </c>
      <c r="U54" s="29"/>
      <c r="V54" s="49"/>
      <c r="W54" s="49"/>
      <c r="X54" s="29"/>
      <c r="Y54" s="29"/>
      <c r="Z54" s="49"/>
      <c r="AA54" s="49"/>
    </row>
    <row r="55" spans="1:27" s="10" customFormat="1" x14ac:dyDescent="0.3">
      <c r="A55" t="s">
        <v>82</v>
      </c>
      <c r="B55" s="9">
        <f>STDEV(B50:G50)</f>
        <v>0.19788586652340739</v>
      </c>
      <c r="C55" s="12"/>
      <c r="D55" s="49"/>
      <c r="E55" s="49"/>
      <c r="G55" s="11"/>
      <c r="H55" s="49"/>
      <c r="I55" s="49"/>
      <c r="J55" s="49"/>
      <c r="K55" s="49"/>
      <c r="L55" s="73">
        <f>STDEV(M50,Q50)</f>
        <v>4.9868460056717787E-3</v>
      </c>
      <c r="M55" s="74"/>
      <c r="N55" s="63">
        <f>STDEV(O50,S50)</f>
        <v>5.1758322639660374E-3</v>
      </c>
      <c r="O55" s="63"/>
      <c r="P55" s="74"/>
      <c r="Q55" s="74"/>
      <c r="R55" s="63"/>
      <c r="S55" s="64"/>
      <c r="T55" s="9">
        <f>STDEV(T50:Y50)</f>
        <v>0.10018859522448874</v>
      </c>
      <c r="U55" s="29"/>
      <c r="V55" s="49"/>
      <c r="W55" s="49"/>
      <c r="X55" s="29"/>
      <c r="Y55" s="29"/>
      <c r="Z55" s="49"/>
      <c r="AA55" s="49"/>
    </row>
    <row r="56" spans="1:27" s="10" customFormat="1" x14ac:dyDescent="0.3">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7" s="10" customFormat="1" x14ac:dyDescent="0.3">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7" s="10" customFormat="1" x14ac:dyDescent="0.3">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7" x14ac:dyDescent="0.3">
      <c r="A59" s="7" t="s">
        <v>115</v>
      </c>
      <c r="B59">
        <f>AVERAGE(B36:I36)</f>
        <v>1.0852976078005474</v>
      </c>
      <c r="L59" s="73"/>
      <c r="S59" s="64"/>
      <c r="T59">
        <f>AVERAGE(T36:AA36)</f>
        <v>1.149410764892834</v>
      </c>
    </row>
    <row r="60" spans="1:27" x14ac:dyDescent="0.3">
      <c r="A60" s="10" t="s">
        <v>116</v>
      </c>
      <c r="B60">
        <f>STDEV(B36:I36)</f>
        <v>0.14686996824269802</v>
      </c>
      <c r="L60" s="73"/>
      <c r="S60" s="64"/>
      <c r="T60">
        <f>STDEV(T36:AA36)</f>
        <v>0.10143885856082505</v>
      </c>
    </row>
    <row r="61" spans="1:27" x14ac:dyDescent="0.3">
      <c r="A61" s="10" t="s">
        <v>117</v>
      </c>
      <c r="B61">
        <f>AVERAGE(B42:I42)</f>
        <v>177.07427624317506</v>
      </c>
      <c r="L61" s="73"/>
      <c r="S61" s="64"/>
      <c r="T61">
        <f>AVERAGE(T42:AA42)</f>
        <v>260.43626285019911</v>
      </c>
    </row>
    <row r="62" spans="1:27" ht="15" thickBot="1" x14ac:dyDescent="0.35">
      <c r="A62" s="10" t="s">
        <v>118</v>
      </c>
      <c r="B62">
        <f>STDEV(B42:I42)</f>
        <v>10.064971198291378</v>
      </c>
      <c r="L62" s="95"/>
      <c r="M62" s="96"/>
      <c r="N62" s="78"/>
      <c r="O62" s="78"/>
      <c r="P62" s="96"/>
      <c r="Q62" s="96"/>
      <c r="R62" s="78"/>
      <c r="S62" s="79"/>
      <c r="T62">
        <f>STDEV(T42:AA42)</f>
        <v>2.5842556801998082</v>
      </c>
    </row>
  </sheetData>
  <mergeCells count="12">
    <mergeCell ref="B19:C19"/>
    <mergeCell ref="F19:G19"/>
    <mergeCell ref="B34:C34"/>
    <mergeCell ref="B10:C10"/>
    <mergeCell ref="F10:G10"/>
    <mergeCell ref="D10:E10"/>
    <mergeCell ref="H10:I10"/>
    <mergeCell ref="T10:U10"/>
    <mergeCell ref="L35:M35"/>
    <mergeCell ref="P35:Q35"/>
    <mergeCell ref="N35:O35"/>
    <mergeCell ref="R35:S35"/>
  </mergeCells>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3"/>
  <sheetViews>
    <sheetView zoomScale="85" zoomScaleNormal="85" workbookViewId="0">
      <pane xSplit="1" ySplit="2" topLeftCell="W24" activePane="bottomRight" state="frozenSplit"/>
      <selection pane="topRight"/>
      <selection pane="bottomLeft" activeCell="A3" sqref="A3"/>
      <selection pane="bottomRight" activeCell="AC32" sqref="AC32"/>
    </sheetView>
  </sheetViews>
  <sheetFormatPr defaultRowHeight="14.4" x14ac:dyDescent="0.3"/>
  <cols>
    <col min="1" max="1" width="28" customWidth="1"/>
    <col min="2" max="3" width="11.6640625" customWidth="1"/>
    <col min="4" max="5" width="9.109375" style="49" customWidth="1"/>
    <col min="6" max="7" width="11.6640625" customWidth="1"/>
    <col min="8" max="11" width="9.109375" style="49" customWidth="1"/>
    <col min="12" max="13" width="9.109375" style="74" customWidth="1"/>
    <col min="14" max="15" width="9.109375" style="63" customWidth="1"/>
    <col min="16" max="17" width="9.109375" style="74" customWidth="1"/>
    <col min="18" max="18" width="9.109375" style="63" customWidth="1"/>
    <col min="19" max="19" width="10.5546875" style="63" customWidth="1"/>
    <col min="20" max="21" width="9.109375" style="29" customWidth="1"/>
    <col min="22" max="23" width="9.109375" style="49" customWidth="1"/>
    <col min="24" max="25" width="9.109375" style="29" customWidth="1"/>
    <col min="26" max="27" width="9.109375" style="49" customWidth="1"/>
  </cols>
  <sheetData>
    <row r="1" spans="1:29" s="19" customFormat="1" x14ac:dyDescent="0.3">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9" s="13" customFormat="1" x14ac:dyDescent="0.3">
      <c r="B2" s="27"/>
      <c r="C2" s="27" t="s">
        <v>113</v>
      </c>
      <c r="D2" s="48"/>
      <c r="E2" s="48" t="s">
        <v>111</v>
      </c>
      <c r="G2" s="13" t="s">
        <v>114</v>
      </c>
      <c r="H2" s="48"/>
      <c r="I2" s="48" t="s">
        <v>112</v>
      </c>
      <c r="J2" s="48"/>
      <c r="K2" s="48" t="s">
        <v>133</v>
      </c>
      <c r="L2" s="82"/>
      <c r="M2" s="83" t="s">
        <v>75</v>
      </c>
      <c r="N2" s="61"/>
      <c r="O2" s="61" t="s">
        <v>134</v>
      </c>
      <c r="P2" s="83"/>
      <c r="Q2" s="83" t="s">
        <v>76</v>
      </c>
      <c r="R2" s="61"/>
      <c r="S2" s="62" t="s">
        <v>135</v>
      </c>
      <c r="T2" s="55"/>
      <c r="U2" s="55" t="s">
        <v>138</v>
      </c>
      <c r="V2" s="48"/>
      <c r="W2" s="48" t="s">
        <v>139</v>
      </c>
      <c r="X2" s="55"/>
      <c r="Y2" s="55" t="s">
        <v>140</v>
      </c>
      <c r="Z2" s="48"/>
      <c r="AA2" s="48" t="s">
        <v>139</v>
      </c>
      <c r="AC2" s="281" t="s">
        <v>350</v>
      </c>
    </row>
    <row r="3" spans="1:29" s="13" customFormat="1" x14ac:dyDescent="0.3">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9" x14ac:dyDescent="0.3">
      <c r="A4" t="s">
        <v>1</v>
      </c>
      <c r="B4">
        <v>538</v>
      </c>
      <c r="C4">
        <v>453</v>
      </c>
      <c r="D4" s="49">
        <v>920</v>
      </c>
      <c r="E4" s="49">
        <v>410</v>
      </c>
      <c r="F4">
        <v>614</v>
      </c>
      <c r="G4">
        <v>484</v>
      </c>
      <c r="H4" s="49">
        <v>665</v>
      </c>
      <c r="I4" s="49">
        <v>230</v>
      </c>
      <c r="J4" s="48">
        <v>635</v>
      </c>
      <c r="K4" s="48">
        <v>481</v>
      </c>
      <c r="L4" s="73">
        <v>630.71500000000003</v>
      </c>
      <c r="M4" s="74">
        <f>959-495.91</f>
        <v>463.09</v>
      </c>
      <c r="N4" s="63">
        <v>963</v>
      </c>
      <c r="O4" s="63">
        <v>366</v>
      </c>
      <c r="P4" s="74">
        <v>596.04</v>
      </c>
      <c r="Q4" s="74">
        <f>959-465.012</f>
        <v>493.988</v>
      </c>
      <c r="R4" s="63">
        <v>948</v>
      </c>
      <c r="S4" s="64">
        <v>440</v>
      </c>
      <c r="T4" s="29">
        <v>804</v>
      </c>
      <c r="U4" s="29">
        <v>445</v>
      </c>
      <c r="V4" s="49">
        <v>942</v>
      </c>
      <c r="W4" s="49">
        <v>408</v>
      </c>
      <c r="X4" s="29">
        <v>654</v>
      </c>
      <c r="Y4" s="29">
        <v>357</v>
      </c>
      <c r="Z4" s="48">
        <v>665</v>
      </c>
      <c r="AA4" s="48">
        <v>245</v>
      </c>
      <c r="AB4">
        <v>620.38499999999999</v>
      </c>
      <c r="AC4">
        <f>960-295.376</f>
        <v>664.62400000000002</v>
      </c>
    </row>
    <row r="5" spans="1:29" x14ac:dyDescent="0.3">
      <c r="A5" t="s">
        <v>2</v>
      </c>
      <c r="B5">
        <v>537</v>
      </c>
      <c r="C5">
        <v>445</v>
      </c>
      <c r="D5" s="49">
        <v>408</v>
      </c>
      <c r="E5" s="49">
        <v>599</v>
      </c>
      <c r="F5">
        <v>604</v>
      </c>
      <c r="G5">
        <v>486</v>
      </c>
      <c r="H5" s="49">
        <v>722</v>
      </c>
      <c r="I5" s="49">
        <v>764</v>
      </c>
      <c r="J5" s="49">
        <v>628</v>
      </c>
      <c r="K5" s="49">
        <v>475</v>
      </c>
      <c r="L5" s="73">
        <v>626.60400000000004</v>
      </c>
      <c r="M5" s="74">
        <f>959-476.458</f>
        <v>482.54199999999997</v>
      </c>
      <c r="N5" s="63">
        <v>494</v>
      </c>
      <c r="O5" s="63">
        <v>376</v>
      </c>
      <c r="P5" s="74">
        <v>615.94799999999998</v>
      </c>
      <c r="Q5" s="74">
        <f>959-461.375</f>
        <v>497.625</v>
      </c>
      <c r="R5" s="63">
        <v>473</v>
      </c>
      <c r="S5" s="64">
        <v>450</v>
      </c>
      <c r="T5" s="29">
        <v>794</v>
      </c>
      <c r="U5" s="29">
        <v>443</v>
      </c>
      <c r="V5" s="49">
        <v>422</v>
      </c>
      <c r="W5" s="49">
        <v>411</v>
      </c>
      <c r="X5" s="29">
        <v>654</v>
      </c>
      <c r="Y5" s="29">
        <v>366</v>
      </c>
      <c r="Z5" s="49">
        <v>732</v>
      </c>
      <c r="AA5" s="49">
        <v>752</v>
      </c>
      <c r="AB5" s="29">
        <v>758.27099999999996</v>
      </c>
      <c r="AC5">
        <f>960-555.845</f>
        <v>404.15499999999997</v>
      </c>
    </row>
    <row r="6" spans="1:29" x14ac:dyDescent="0.3">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AA6" si="1">L5-L4</f>
        <v>-4.11099999999999</v>
      </c>
      <c r="M6" s="74">
        <f t="shared" si="1"/>
        <v>19.451999999999998</v>
      </c>
      <c r="N6" s="63">
        <f t="shared" si="1"/>
        <v>-469</v>
      </c>
      <c r="O6" s="63">
        <f t="shared" si="1"/>
        <v>10</v>
      </c>
      <c r="P6" s="74">
        <f t="shared" si="1"/>
        <v>19.908000000000015</v>
      </c>
      <c r="Q6" s="74">
        <f t="shared" si="1"/>
        <v>3.6370000000000005</v>
      </c>
      <c r="R6" s="63">
        <f t="shared" si="1"/>
        <v>-475</v>
      </c>
      <c r="S6" s="64">
        <f t="shared" si="1"/>
        <v>10</v>
      </c>
      <c r="T6" s="29">
        <f t="shared" si="1"/>
        <v>-10</v>
      </c>
      <c r="U6" s="74">
        <f t="shared" si="1"/>
        <v>-2</v>
      </c>
      <c r="V6" s="63">
        <f t="shared" si="1"/>
        <v>-520</v>
      </c>
      <c r="W6" s="63">
        <f t="shared" si="1"/>
        <v>3</v>
      </c>
      <c r="X6" s="29">
        <f t="shared" si="1"/>
        <v>0</v>
      </c>
      <c r="Y6" s="74">
        <f t="shared" si="1"/>
        <v>9</v>
      </c>
      <c r="Z6" s="63">
        <f t="shared" si="1"/>
        <v>67</v>
      </c>
      <c r="AA6" s="63">
        <f t="shared" si="1"/>
        <v>507</v>
      </c>
      <c r="AB6" s="29">
        <f>AB5-AB4</f>
        <v>137.88599999999997</v>
      </c>
      <c r="AC6" s="74">
        <f>AC5-AC4</f>
        <v>-260.46900000000005</v>
      </c>
    </row>
    <row r="7" spans="1:29" x14ac:dyDescent="0.3">
      <c r="A7" t="s">
        <v>5</v>
      </c>
      <c r="B7">
        <f t="shared" ref="B7:I7" si="2">B6^2</f>
        <v>1</v>
      </c>
      <c r="C7">
        <f t="shared" si="2"/>
        <v>64</v>
      </c>
      <c r="D7" s="49">
        <f t="shared" si="2"/>
        <v>262144</v>
      </c>
      <c r="E7" s="49">
        <f t="shared" si="2"/>
        <v>35721</v>
      </c>
      <c r="F7">
        <f t="shared" si="2"/>
        <v>100</v>
      </c>
      <c r="G7">
        <f t="shared" si="2"/>
        <v>4</v>
      </c>
      <c r="H7" s="49">
        <f t="shared" si="2"/>
        <v>3249</v>
      </c>
      <c r="I7" s="49">
        <f t="shared" si="2"/>
        <v>285156</v>
      </c>
      <c r="J7" s="49">
        <f>J6^2</f>
        <v>49</v>
      </c>
      <c r="K7" s="49">
        <f>K6^2</f>
        <v>36</v>
      </c>
      <c r="L7" s="73">
        <f t="shared" ref="L7:AA7" si="3">L6^2</f>
        <v>16.900320999999916</v>
      </c>
      <c r="M7" s="74">
        <f t="shared" si="3"/>
        <v>378.38030399999991</v>
      </c>
      <c r="N7" s="63">
        <f t="shared" si="3"/>
        <v>219961</v>
      </c>
      <c r="O7" s="63">
        <f t="shared" si="3"/>
        <v>100</v>
      </c>
      <c r="P7" s="74">
        <f t="shared" si="3"/>
        <v>396.32846400000062</v>
      </c>
      <c r="Q7" s="74">
        <f t="shared" si="3"/>
        <v>13.227769000000004</v>
      </c>
      <c r="R7" s="63">
        <f t="shared" si="3"/>
        <v>225625</v>
      </c>
      <c r="S7" s="64">
        <f t="shared" si="3"/>
        <v>100</v>
      </c>
      <c r="T7" s="29">
        <f t="shared" si="3"/>
        <v>100</v>
      </c>
      <c r="U7" s="74">
        <f t="shared" si="3"/>
        <v>4</v>
      </c>
      <c r="V7" s="63">
        <f t="shared" si="3"/>
        <v>270400</v>
      </c>
      <c r="W7" s="63">
        <f t="shared" si="3"/>
        <v>9</v>
      </c>
      <c r="X7" s="29">
        <f t="shared" si="3"/>
        <v>0</v>
      </c>
      <c r="Y7" s="74">
        <f t="shared" si="3"/>
        <v>81</v>
      </c>
      <c r="Z7" s="63">
        <f t="shared" si="3"/>
        <v>4489</v>
      </c>
      <c r="AA7" s="63">
        <f t="shared" si="3"/>
        <v>257049</v>
      </c>
      <c r="AB7" s="29">
        <f>AB6^2</f>
        <v>19012.54899599999</v>
      </c>
      <c r="AC7" s="74">
        <f>AC6^2</f>
        <v>67844.099961000029</v>
      </c>
    </row>
    <row r="8" spans="1:29" x14ac:dyDescent="0.3">
      <c r="A8" t="s">
        <v>6</v>
      </c>
      <c r="C8">
        <f>SQRT(SUM(B7:C7))</f>
        <v>8.0622577482985491</v>
      </c>
      <c r="E8" s="49">
        <f>SQRT(SUM(D7:E7))</f>
        <v>545.7700981182461</v>
      </c>
      <c r="G8">
        <f>SQRT(SUM(F7:G7))</f>
        <v>10.198039027185569</v>
      </c>
      <c r="I8" s="49">
        <f>SQRT(SUM(H7:I7))</f>
        <v>537.03351850699221</v>
      </c>
      <c r="K8" s="49">
        <f>SQRT(SUM(J7:K7))</f>
        <v>9.2195444572928871</v>
      </c>
      <c r="L8" s="73"/>
      <c r="M8" s="74">
        <f>SQRT(SUM(L7:M7))</f>
        <v>19.881665548942319</v>
      </c>
      <c r="O8" s="63">
        <f>SQRT(SUM(N7:O7))</f>
        <v>469.10659769395699</v>
      </c>
      <c r="Q8" s="74">
        <f>SQRT(SUM(P7:Q7))</f>
        <v>20.237495719579552</v>
      </c>
      <c r="S8" s="64">
        <f>SQRT(SUM(R7:S7))</f>
        <v>475.10525149697094</v>
      </c>
      <c r="U8" s="74">
        <f>SQRT(SUM(T7:U7))</f>
        <v>10.198039027185569</v>
      </c>
      <c r="V8" s="63"/>
      <c r="W8" s="63">
        <f>SQRT(SUM(V7:W7))</f>
        <v>520.0086537741463</v>
      </c>
      <c r="Y8" s="74">
        <f>SQRT(SUM(X7:Y7))</f>
        <v>9</v>
      </c>
      <c r="Z8" s="63"/>
      <c r="AA8" s="63">
        <f>SQRT(SUM(Z7:AA7))</f>
        <v>511.40786071393154</v>
      </c>
      <c r="AB8" s="29"/>
      <c r="AC8" s="74">
        <f>SQRT(SUM(AB7:AC7))</f>
        <v>294.71452111662234</v>
      </c>
    </row>
    <row r="9" spans="1:29" x14ac:dyDescent="0.3">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258.06666683981626</v>
      </c>
      <c r="O9" s="63">
        <f>MOD(ATAN2(O6,N6)*180/PI()+270,360)</f>
        <v>181.22147332969774</v>
      </c>
      <c r="Q9" s="74">
        <f>MOD(ATAN2(Q6,P6)*180/PI()+270,360)</f>
        <v>349.64678707426123</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c r="AB9" s="29"/>
      <c r="AC9" s="74">
        <f>MOD(ATAN2(AC6,AB6)*180/PI()+270,360)</f>
        <v>62.10433597454039</v>
      </c>
    </row>
    <row r="10" spans="1:29" s="17" customFormat="1" ht="117" customHeight="1" x14ac:dyDescent="0.3">
      <c r="A10" s="16" t="s">
        <v>40</v>
      </c>
      <c r="B10" s="393"/>
      <c r="C10" s="393"/>
      <c r="D10" s="395"/>
      <c r="E10" s="395"/>
      <c r="F10" s="393"/>
      <c r="G10" s="393"/>
      <c r="H10" s="395"/>
      <c r="I10" s="395"/>
      <c r="J10" s="49"/>
      <c r="K10" s="49"/>
      <c r="L10" s="404" t="s">
        <v>143</v>
      </c>
      <c r="M10" s="405"/>
      <c r="N10" s="65"/>
      <c r="O10" s="65"/>
      <c r="P10" s="405" t="s">
        <v>143</v>
      </c>
      <c r="Q10" s="405"/>
      <c r="R10" s="65"/>
      <c r="S10" s="66"/>
      <c r="T10" s="389"/>
      <c r="U10" s="389"/>
      <c r="V10" s="108"/>
      <c r="W10" s="108"/>
      <c r="X10" s="107"/>
      <c r="Y10" s="107"/>
      <c r="Z10" s="108"/>
      <c r="AA10" s="108"/>
    </row>
    <row r="11" spans="1:29" s="19" customFormat="1" x14ac:dyDescent="0.3">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9" s="1" customFormat="1" x14ac:dyDescent="0.3">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9" x14ac:dyDescent="0.3">
      <c r="A13" t="s">
        <v>18</v>
      </c>
      <c r="L13" s="73"/>
      <c r="S13" s="64"/>
    </row>
    <row r="14" spans="1:29" x14ac:dyDescent="0.3">
      <c r="A14" t="s">
        <v>17</v>
      </c>
      <c r="L14" s="73"/>
      <c r="S14" s="64"/>
    </row>
    <row r="15" spans="1:29" x14ac:dyDescent="0.3">
      <c r="A15" t="s">
        <v>14</v>
      </c>
      <c r="L15" s="73"/>
      <c r="S15" s="64"/>
    </row>
    <row r="16" spans="1:29" x14ac:dyDescent="0.3">
      <c r="A16" t="s">
        <v>13</v>
      </c>
      <c r="C16">
        <v>1.105</v>
      </c>
      <c r="E16" s="53">
        <f>5*15*COS((31+36/60)*PI()/180)</f>
        <v>63.879520060728574</v>
      </c>
      <c r="G16">
        <v>1.105</v>
      </c>
      <c r="H16" s="53"/>
      <c r="I16" s="53">
        <f>5*15*COS((31+36/60)*PI()/180)</f>
        <v>63.879520060728574</v>
      </c>
      <c r="J16" s="53"/>
      <c r="K16" s="53">
        <v>2.5</v>
      </c>
      <c r="L16" s="73"/>
      <c r="M16" s="90">
        <v>2.3530000000000002</v>
      </c>
      <c r="O16" s="63">
        <f>5*15*COS((39+40/60)*PI()/180)</f>
        <v>57.732828365352589</v>
      </c>
      <c r="Q16" s="90">
        <v>2.3650000000000002</v>
      </c>
      <c r="S16" s="64">
        <f>5*15*COS((39+40/60)*PI()/180)</f>
        <v>57.732828365352589</v>
      </c>
      <c r="U16" s="29">
        <v>0.98799999999999999</v>
      </c>
      <c r="W16" s="53">
        <f>5*15*COS((32+54/60)*PI()/180)</f>
        <v>62.971489840080991</v>
      </c>
      <c r="Y16" s="29">
        <v>0.98799999999999999</v>
      </c>
      <c r="AA16" s="53">
        <f>5*15*COS((32+54/60)*PI()/180)</f>
        <v>62.971489840080991</v>
      </c>
      <c r="AC16">
        <v>34.4</v>
      </c>
    </row>
    <row r="17" spans="1:29" x14ac:dyDescent="0.3">
      <c r="A17" t="s">
        <v>7</v>
      </c>
      <c r="C17">
        <v>190.09</v>
      </c>
      <c r="E17" s="49">
        <v>-90</v>
      </c>
      <c r="G17">
        <v>190.09</v>
      </c>
      <c r="I17" s="49">
        <v>-90</v>
      </c>
      <c r="K17" s="49">
        <v>274</v>
      </c>
      <c r="L17" s="73"/>
      <c r="M17" s="74">
        <v>348.03</v>
      </c>
      <c r="O17" s="63">
        <v>-90</v>
      </c>
      <c r="Q17" s="74">
        <v>78.790000000000006</v>
      </c>
      <c r="S17" s="64">
        <v>-90</v>
      </c>
      <c r="U17" s="29">
        <v>261.7</v>
      </c>
      <c r="W17" s="49">
        <v>-90</v>
      </c>
      <c r="Y17" s="29">
        <v>261.7</v>
      </c>
      <c r="AA17" s="49">
        <v>-90</v>
      </c>
      <c r="AC17">
        <v>54</v>
      </c>
    </row>
    <row r="18" spans="1:29" x14ac:dyDescent="0.3">
      <c r="A18" t="s">
        <v>32</v>
      </c>
      <c r="B18" s="9">
        <f>-C16*SIN((C17)/180*PI())</f>
        <v>0.19359035919821219</v>
      </c>
      <c r="C18" s="9">
        <f>C16*COS((C17)/180*PI())</f>
        <v>-1.0879098183330762</v>
      </c>
      <c r="D18" s="9">
        <f>-E16*SIN((E17)/180*PI())</f>
        <v>63.879520060728574</v>
      </c>
      <c r="E18" s="9">
        <f>E16*COS((E17)/180*PI())</f>
        <v>3.9130947651352902E-15</v>
      </c>
      <c r="F18" s="9">
        <f>-G16*SIN((G17)/180*PI())</f>
        <v>0.19359035919821219</v>
      </c>
      <c r="G18" s="9">
        <f>G16*COS((G17)/180*PI())</f>
        <v>-1.0879098183330762</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-2.3198787328816</v>
      </c>
      <c r="Q18" s="72">
        <f>Q16*COS((Q17)/180*PI())</f>
        <v>0.45976914285722059</v>
      </c>
      <c r="R18" s="97">
        <f>-S16*SIN((S17)/180*PI())</f>
        <v>57.732828365352589</v>
      </c>
      <c r="S18" s="98">
        <f>S16*COS((S17)/180*PI())</f>
        <v>3.5365642734658139E-15</v>
      </c>
      <c r="T18" s="9">
        <f>-U16*SIN((U17)/180*PI())</f>
        <v>0.97765147960014165</v>
      </c>
      <c r="U18" s="9">
        <f>U16*COS((U17)/180*PI())</f>
        <v>-0.14262392658896247</v>
      </c>
      <c r="V18" s="9">
        <f>-W16*SIN((W17)/180*PI())</f>
        <v>62.971489840080991</v>
      </c>
      <c r="W18" s="9">
        <f>W16*COS((W17)/180*PI())</f>
        <v>3.8574711740434546E-15</v>
      </c>
      <c r="X18" s="9">
        <f>-Y16*SIN((Y17)/180*PI())</f>
        <v>0.97765147960014165</v>
      </c>
      <c r="Y18" s="9">
        <f>Y16*COS((Y17)/180*PI())</f>
        <v>-0.14262392658896247</v>
      </c>
      <c r="Z18" s="9">
        <f>-AA16*SIN((AA17)/180*PI())</f>
        <v>62.971489840080991</v>
      </c>
      <c r="AA18" s="9">
        <f>AA16*COS((AA17)/180*PI())</f>
        <v>3.8574711740434546E-15</v>
      </c>
      <c r="AB18" s="9">
        <f>-AC16*SIN((AC17)/180*PI())</f>
        <v>-27.830184606498189</v>
      </c>
      <c r="AC18" s="9">
        <f>AC16*COS((AC17)/180*PI())</f>
        <v>20.219812678861075</v>
      </c>
    </row>
    <row r="19" spans="1:29" s="14" customFormat="1" ht="69" customHeight="1" x14ac:dyDescent="0.3">
      <c r="A19" s="15" t="s">
        <v>40</v>
      </c>
      <c r="B19" s="389"/>
      <c r="C19" s="389"/>
      <c r="D19" s="51"/>
      <c r="E19" s="51"/>
      <c r="F19" s="390"/>
      <c r="G19" s="390"/>
      <c r="H19" s="51"/>
      <c r="I19" s="51"/>
      <c r="J19" s="51"/>
      <c r="K19" s="51"/>
      <c r="L19" s="84"/>
      <c r="M19" s="85"/>
      <c r="N19" s="65"/>
      <c r="O19" s="65"/>
      <c r="P19" s="85"/>
      <c r="Q19" s="85"/>
      <c r="R19" s="65"/>
      <c r="S19" s="66"/>
      <c r="T19" s="21"/>
      <c r="U19" s="21"/>
      <c r="V19" s="51"/>
      <c r="W19" s="51"/>
      <c r="X19" s="21"/>
      <c r="Y19" s="21"/>
      <c r="Z19" s="51"/>
      <c r="AA19" s="51"/>
      <c r="AB19" s="398" t="s">
        <v>353</v>
      </c>
      <c r="AC19" s="398"/>
    </row>
    <row r="20" spans="1:29" s="19" customFormat="1" x14ac:dyDescent="0.3">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9" x14ac:dyDescent="0.3">
      <c r="A21" s="7" t="s">
        <v>65</v>
      </c>
      <c r="C21">
        <f>C16/C8</f>
        <v>0.13705838172107535</v>
      </c>
      <c r="E21">
        <f>E16/E8</f>
        <v>0.11704474151474764</v>
      </c>
      <c r="G21">
        <f>G16/G8</f>
        <v>0.10835416466384669</v>
      </c>
      <c r="I21">
        <f>I16/I8</f>
        <v>0.11894885115983102</v>
      </c>
      <c r="J21"/>
      <c r="K21">
        <f>K16/K8</f>
        <v>0.2711630722733202</v>
      </c>
      <c r="L21" s="73"/>
      <c r="M21" s="74">
        <f>M16/M8</f>
        <v>0.11835024556708615</v>
      </c>
      <c r="O21" s="63">
        <f>O16/O8</f>
        <v>0.12306974288819793</v>
      </c>
      <c r="Q21" s="74">
        <f>Q16/Q8</f>
        <v>0.11686228537219104</v>
      </c>
      <c r="S21" s="64">
        <f>S16/S8</f>
        <v>0.12151587081693344</v>
      </c>
      <c r="T21"/>
      <c r="U21">
        <f>U16/U8</f>
        <v>9.6881370758262919E-2</v>
      </c>
      <c r="W21" s="64">
        <f>W16/W8</f>
        <v>0.121097003642234</v>
      </c>
      <c r="X21"/>
      <c r="Y21">
        <f>Y16/Y8</f>
        <v>0.10977777777777778</v>
      </c>
      <c r="AA21" s="64">
        <f>AA16/AA8</f>
        <v>0.12313359781402662</v>
      </c>
      <c r="AC21">
        <f>AC16/AC8</f>
        <v>0.11672312538134989</v>
      </c>
    </row>
    <row r="22" spans="1:29" x14ac:dyDescent="0.3">
      <c r="A22" t="s">
        <v>34</v>
      </c>
      <c r="B22">
        <f>STDEV(B21:E21)</f>
        <v>1.4151780706122054E-2</v>
      </c>
      <c r="C22">
        <f>AVERAGE(B21:E21)</f>
        <v>0.12705156161791148</v>
      </c>
      <c r="E22" s="49">
        <f>AVERAGE(E21,I21)</f>
        <v>0.11799679633728932</v>
      </c>
      <c r="F22">
        <f>STDEV(F21:I21)</f>
        <v>7.4915746658560612E-3</v>
      </c>
      <c r="G22">
        <f>AVERAGE(F21:I21)</f>
        <v>0.11365150791183885</v>
      </c>
      <c r="J22">
        <f>STDEV(J21:M21)</f>
        <v>0.10805498601626291</v>
      </c>
      <c r="K22">
        <f>AVERAGE(J21:M21)</f>
        <v>0.19475665892020316</v>
      </c>
      <c r="L22" s="73">
        <f>STDEV(L21:S21)</f>
        <v>2.8447578755559141E-3</v>
      </c>
      <c r="M22" s="74">
        <f>AVERAGE(L21:S21)</f>
        <v>0.11994953616110214</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c r="AB22" t="e">
        <f>STDEV(AB21:AE21)</f>
        <v>#DIV/0!</v>
      </c>
      <c r="AC22">
        <f>AVERAGE(AB21:AE21)</f>
        <v>0.11672312538134989</v>
      </c>
    </row>
    <row r="23" spans="1:29" x14ac:dyDescent="0.3">
      <c r="A23" t="s">
        <v>35</v>
      </c>
      <c r="C23">
        <f>C21-$C22</f>
        <v>1.0006820103163866E-2</v>
      </c>
      <c r="G23">
        <f>G21-$G22</f>
        <v>-5.2973432479921645E-3</v>
      </c>
      <c r="J23"/>
      <c r="K23">
        <f>K21-$G22</f>
        <v>0.15751156436148134</v>
      </c>
      <c r="L23" s="73"/>
      <c r="M23" s="74">
        <f>M21-$M22</f>
        <v>-1.5992905940159924E-3</v>
      </c>
      <c r="O23" s="63">
        <f>O21-$M22</f>
        <v>3.1202067270957867E-3</v>
      </c>
      <c r="Q23" s="74">
        <f>Q21-$M22</f>
        <v>-3.0872507889111028E-3</v>
      </c>
      <c r="S23" s="64">
        <f>S21-$M22</f>
        <v>1.5663346558312946E-3</v>
      </c>
      <c r="T23"/>
      <c r="U23">
        <f>U21-$G22</f>
        <v>-1.6770137153575934E-2</v>
      </c>
      <c r="W23" s="64">
        <f>W21-$M22</f>
        <v>1.1474674811318558E-3</v>
      </c>
      <c r="X23"/>
      <c r="Y23">
        <f>Y21-$G22</f>
        <v>-3.8737301340610736E-3</v>
      </c>
      <c r="AA23" s="64">
        <f>AA21-$M22</f>
        <v>3.1840616529244803E-3</v>
      </c>
      <c r="AC23">
        <f>AC21-$G22</f>
        <v>3.0716174695110399E-3</v>
      </c>
    </row>
    <row r="24" spans="1:29" x14ac:dyDescent="0.3">
      <c r="A24" s="7" t="s">
        <v>64</v>
      </c>
      <c r="C24" s="29">
        <f>MOD(C9-C17,360)</f>
        <v>267.03501634890176</v>
      </c>
      <c r="E24" s="29">
        <f>MOD(E9-E17,360)</f>
        <v>290.26115211083066</v>
      </c>
      <c r="G24">
        <f>MOD(G9-G17,360)</f>
        <v>1.2199324740202258</v>
      </c>
      <c r="I24" s="29">
        <f>MOD(I9-I17,360)+360</f>
        <v>366.09277165733607</v>
      </c>
      <c r="J24"/>
      <c r="K24">
        <f>MOD(K9-K17,360)</f>
        <v>225.39870535499551</v>
      </c>
      <c r="L24" s="73"/>
      <c r="M24" s="74">
        <f>MOD(M9-M17,360)</f>
        <v>270.03666683981629</v>
      </c>
      <c r="O24" s="63">
        <f>MOD(O9-O17,360)</f>
        <v>271.22147332969774</v>
      </c>
      <c r="Q24" s="74">
        <f>MOD(Q9-Q17,360)</f>
        <v>270.85678707426121</v>
      </c>
      <c r="S24" s="64">
        <f>MOD(S9-S17,360)</f>
        <v>271.20604877921994</v>
      </c>
      <c r="T24"/>
      <c r="U24">
        <f>MOD(U9-U17,360)</f>
        <v>266.99006752597978</v>
      </c>
      <c r="W24" s="64">
        <f>MOD(W9-W17,360)</f>
        <v>270.33054890681393</v>
      </c>
      <c r="X24"/>
      <c r="Y24">
        <f>MOD(Y9-Y17,360)</f>
        <v>8.3000000000000114</v>
      </c>
      <c r="AA24" s="64">
        <f>MOD(AA9-AA17,360)</f>
        <v>7.5280117904609369</v>
      </c>
      <c r="AC24">
        <f>MOD(AC9-AC17,360)</f>
        <v>8.1043359745403905</v>
      </c>
    </row>
    <row r="25" spans="1:29" x14ac:dyDescent="0.3">
      <c r="A25" t="s">
        <v>36</v>
      </c>
      <c r="B25">
        <f>STDEV(B24:E24)</f>
        <v>16.423358098019307</v>
      </c>
      <c r="C25">
        <f>AVERAGE(B24:E24)</f>
        <v>278.64808422986619</v>
      </c>
      <c r="F25">
        <f>STDEV(F24:I24)</f>
        <v>258.00405885731124</v>
      </c>
      <c r="G25">
        <f>AVERAGE(F24:I24)</f>
        <v>183.65635206567816</v>
      </c>
      <c r="J25">
        <f>STDEV(J24:M24)</f>
        <v>31.563805264260701</v>
      </c>
      <c r="K25">
        <f>AVERAGE(J24:M24)</f>
        <v>247.7176860974059</v>
      </c>
      <c r="L25" s="73">
        <f>STDEV(L24:S24)</f>
        <v>0.55520532672059553</v>
      </c>
      <c r="M25" s="74">
        <f>AVERAGE(L24:S24)</f>
        <v>270.8302440057488</v>
      </c>
      <c r="N25" s="63">
        <f>STDEV(O24,S24)</f>
        <v>1.090680423960886E-2</v>
      </c>
      <c r="O25" s="63">
        <f>AVERAGE(O24,S24)</f>
        <v>271.21376105445881</v>
      </c>
      <c r="S25" s="64"/>
      <c r="T25">
        <f>STDEV(T24:W24)</f>
        <v>2.3620770368152284</v>
      </c>
      <c r="U25">
        <f>AVERAGE(T24:W24)</f>
        <v>268.66030821639686</v>
      </c>
      <c r="W25" s="64"/>
      <c r="X25">
        <f>STDEV(X24:AA24)</f>
        <v>0.54587809796114084</v>
      </c>
      <c r="Y25">
        <f>AVERAGE(X24:AA24)</f>
        <v>7.9140058952304742</v>
      </c>
      <c r="AA25" s="64"/>
      <c r="AB25" t="e">
        <f>STDEV(AB24:AE24)</f>
        <v>#DIV/0!</v>
      </c>
      <c r="AC25">
        <f>AVERAGE(AB24:AE24)</f>
        <v>8.1043359745403905</v>
      </c>
    </row>
    <row r="26" spans="1:29" x14ac:dyDescent="0.3">
      <c r="A26" t="s">
        <v>35</v>
      </c>
      <c r="C26">
        <f>C24-$C25</f>
        <v>-11.613067880964422</v>
      </c>
      <c r="E26" s="49">
        <f>E24-$C25</f>
        <v>11.613067880964479</v>
      </c>
      <c r="G26">
        <f>G24-$G25</f>
        <v>-182.43641959165794</v>
      </c>
      <c r="I26" s="49">
        <f>I24-$G25</f>
        <v>182.43641959165791</v>
      </c>
      <c r="J26"/>
      <c r="K26">
        <f>K24-$G25</f>
        <v>41.74235328931735</v>
      </c>
      <c r="L26" s="73"/>
      <c r="M26" s="74">
        <f>M24-$M25</f>
        <v>-0.79357716593250416</v>
      </c>
      <c r="O26" s="63">
        <f>O24-$M25</f>
        <v>0.3912293239489486</v>
      </c>
      <c r="Q26" s="74">
        <f>Q24-$M25</f>
        <v>2.6543068512410173E-2</v>
      </c>
      <c r="S26" s="64">
        <f>S24-$M25</f>
        <v>0.37580477347114538</v>
      </c>
      <c r="T26"/>
      <c r="U26">
        <f>U24-$G25</f>
        <v>83.333715460301619</v>
      </c>
      <c r="W26" s="64">
        <f>W24-$M25</f>
        <v>-0.49969509893486475</v>
      </c>
      <c r="X26"/>
      <c r="Y26">
        <f>Y24-$G25</f>
        <v>-175.35635206567815</v>
      </c>
      <c r="AA26" s="64">
        <f>AA24-$M25</f>
        <v>-263.30223221528786</v>
      </c>
      <c r="AC26">
        <f>AC24-$G25</f>
        <v>-175.55201609113777</v>
      </c>
    </row>
    <row r="27" spans="1:29" x14ac:dyDescent="0.3">
      <c r="A27" t="s">
        <v>67</v>
      </c>
      <c r="C27">
        <f>SQRT(C16)</f>
        <v>1.0511898020814319</v>
      </c>
      <c r="E27" s="49">
        <f>SQRT(E16)</f>
        <v>7.9924664566533261</v>
      </c>
      <c r="G27">
        <f>SQRT(G16)</f>
        <v>1.0511898020814319</v>
      </c>
      <c r="I27" s="49">
        <f>SQRT(I16)</f>
        <v>7.9924664566533261</v>
      </c>
      <c r="J27"/>
      <c r="K27">
        <f>SQRT(K16)</f>
        <v>1.5811388300841898</v>
      </c>
      <c r="L27" s="73"/>
      <c r="M27" s="74">
        <f>SQRT(M16)</f>
        <v>1.5339491516996253</v>
      </c>
      <c r="O27" s="63">
        <f>SQRT(O16)</f>
        <v>7.5982121821750006</v>
      </c>
      <c r="Q27" s="74">
        <f>SQRT(Q16)</f>
        <v>1.5378556499229699</v>
      </c>
      <c r="S27" s="64">
        <f>SQRT(S16)</f>
        <v>7.5982121821750006</v>
      </c>
      <c r="T27"/>
      <c r="U27">
        <f>SQRT(U16)</f>
        <v>0.99398189118313418</v>
      </c>
      <c r="W27" s="64">
        <f>SQRT(W16)</f>
        <v>7.9354577586980444</v>
      </c>
      <c r="X27"/>
      <c r="Y27">
        <f>SQRT(Y16)</f>
        <v>0.99398189118313418</v>
      </c>
      <c r="AA27" s="64">
        <f>SQRT(AA16)</f>
        <v>7.9354577586980444</v>
      </c>
      <c r="AC27">
        <f>SQRT(AC16)</f>
        <v>5.8651513194460723</v>
      </c>
    </row>
    <row r="28" spans="1:29" x14ac:dyDescent="0.3">
      <c r="A28" t="s">
        <v>68</v>
      </c>
      <c r="C28">
        <f>C27*C21</f>
        <v>0.14407437315497854</v>
      </c>
      <c r="E28">
        <f>E27*E21</f>
        <v>0.93547617048427956</v>
      </c>
      <c r="G28">
        <f>G27*G21</f>
        <v>0.11390079290768788</v>
      </c>
      <c r="I28">
        <f>I27*I21</f>
        <v>0.95069470295239844</v>
      </c>
      <c r="J28"/>
      <c r="K28">
        <f>K27*K21</f>
        <v>0.4287464628562721</v>
      </c>
      <c r="L28" s="73"/>
      <c r="M28" s="74">
        <f>M27*M21</f>
        <v>0.18154325879107414</v>
      </c>
      <c r="O28" s="63">
        <f>O27*O21</f>
        <v>0.93511001967025065</v>
      </c>
      <c r="Q28" s="74">
        <f>Q27*Q21</f>
        <v>0.17971732582253441</v>
      </c>
      <c r="S28" s="64">
        <f>S27*S21</f>
        <v>0.92330336996882723</v>
      </c>
      <c r="T28"/>
      <c r="U28">
        <f>U27*U21</f>
        <v>9.6298328126712573E-2</v>
      </c>
      <c r="W28" s="64">
        <f>W27*W21</f>
        <v>0.9609601571078511</v>
      </c>
      <c r="X28"/>
      <c r="Y28">
        <f>Y27*Y21</f>
        <v>0.1091171231654374</v>
      </c>
      <c r="AA28" s="64">
        <f>AA27*AA21</f>
        <v>0.97712146412972212</v>
      </c>
      <c r="AC28">
        <f>AC27*AC21</f>
        <v>0.68459879284029368</v>
      </c>
    </row>
    <row r="29" spans="1:29" x14ac:dyDescent="0.3">
      <c r="A29" t="s">
        <v>69</v>
      </c>
      <c r="C29" s="7">
        <f>SUM(B28:I28,M28:AC28)/SUM(B27:I27,M27:AC27)</f>
        <v>0.11970650927561216</v>
      </c>
      <c r="G29" s="7"/>
      <c r="J29"/>
      <c r="K29" s="7"/>
      <c r="L29" s="73"/>
      <c r="M29" s="74">
        <f>SUM(L28:S28)/SUM(L27:S27)</f>
        <v>0.12150460529514118</v>
      </c>
      <c r="S29" s="64"/>
      <c r="T29"/>
      <c r="U29" s="7"/>
      <c r="W29" s="64"/>
      <c r="X29"/>
      <c r="Y29" s="7"/>
      <c r="AA29" s="64"/>
      <c r="AC29" s="7"/>
    </row>
    <row r="30" spans="1:29" x14ac:dyDescent="0.3">
      <c r="A30" t="s">
        <v>72</v>
      </c>
      <c r="C30" s="7">
        <f>C21-$C$29</f>
        <v>1.7351872445463185E-2</v>
      </c>
      <c r="E30" s="52">
        <f>E21-$C$29</f>
        <v>-2.6617677608645196E-3</v>
      </c>
      <c r="G30" s="7">
        <f>G21-$G$29</f>
        <v>0.10835416466384669</v>
      </c>
      <c r="I30" s="52">
        <f>I21-$G$29</f>
        <v>0.11894885115983102</v>
      </c>
      <c r="J30"/>
      <c r="K30" s="7">
        <f>K21-$G$29</f>
        <v>0.2711630722733202</v>
      </c>
      <c r="L30" s="91"/>
      <c r="M30" s="92">
        <f>M21-$M$29</f>
        <v>-3.1543597280550284E-3</v>
      </c>
      <c r="N30" s="75"/>
      <c r="O30" s="75">
        <f>O21-$M$29</f>
        <v>1.5651375930567507E-3</v>
      </c>
      <c r="P30" s="92"/>
      <c r="Q30" s="92">
        <f>Q21-$M$29</f>
        <v>-4.6423199229501388E-3</v>
      </c>
      <c r="R30" s="75"/>
      <c r="S30" s="76">
        <f>S21-$M$29</f>
        <v>1.1265521792258593E-5</v>
      </c>
      <c r="T30"/>
      <c r="U30" s="7">
        <f>U21-$G$29</f>
        <v>9.6881370758262919E-2</v>
      </c>
      <c r="W30" s="76">
        <f>W21-$M$29</f>
        <v>-4.076016529071802E-4</v>
      </c>
      <c r="X30"/>
      <c r="Y30" s="7">
        <f>Y21-$G$29</f>
        <v>0.10977777777777778</v>
      </c>
      <c r="AA30" s="76">
        <f>AA21-$M$29</f>
        <v>1.6289925188854443E-3</v>
      </c>
      <c r="AC30" s="7">
        <f>AC21-$G$29</f>
        <v>0.11672312538134989</v>
      </c>
    </row>
    <row r="31" spans="1:29" x14ac:dyDescent="0.3">
      <c r="A31" t="s">
        <v>119</v>
      </c>
      <c r="C31">
        <f>C27*C24</f>
        <v>280.704485984614</v>
      </c>
      <c r="E31" s="49">
        <f>E27*E24</f>
        <v>2319.9025219153627</v>
      </c>
      <c r="G31">
        <f>G27*G24</f>
        <v>1.2823805759180327</v>
      </c>
      <c r="I31" s="49">
        <f>I27*I24</f>
        <v>2925.9841974945039</v>
      </c>
      <c r="J31"/>
      <c r="K31">
        <f>K27*K24</f>
        <v>356.38664528748859</v>
      </c>
      <c r="L31" s="73"/>
      <c r="M31" s="74">
        <f>M27*M24</f>
        <v>414.22251602673055</v>
      </c>
      <c r="O31" s="63">
        <f>O27*O24</f>
        <v>2060.7983027211612</v>
      </c>
      <c r="Q31" s="74">
        <f>Q27*Q24</f>
        <v>416.53864032213545</v>
      </c>
      <c r="S31" s="64">
        <f>S27*S24</f>
        <v>2060.6811037138164</v>
      </c>
      <c r="T31"/>
      <c r="U31">
        <f>U27*U24</f>
        <v>265.38329224658611</v>
      </c>
      <c r="W31" s="64">
        <f>W27*W24</f>
        <v>2145.1966517356777</v>
      </c>
      <c r="X31"/>
      <c r="Y31">
        <f>Y27*Y24</f>
        <v>8.2500496968200245</v>
      </c>
      <c r="AA31" s="64">
        <f>AA27*AA24</f>
        <v>59.738219570183595</v>
      </c>
      <c r="AC31">
        <f>AC27*AC24</f>
        <v>47.533156834309843</v>
      </c>
    </row>
    <row r="32" spans="1:29" x14ac:dyDescent="0.3">
      <c r="A32" t="s">
        <v>120</v>
      </c>
      <c r="C32" s="7">
        <f>SUM(B31:E31)/SUM(B27:E27)</f>
        <v>287.56146114998535</v>
      </c>
      <c r="G32" s="7">
        <f>SUM(F31:I31)/SUM(F27:I27)</f>
        <v>323.68176037685419</v>
      </c>
      <c r="J32"/>
      <c r="K32" s="7">
        <f>SUM(J31:M31)/SUM(J27:M27)</f>
        <v>247.37958151440066</v>
      </c>
      <c r="L32" s="73"/>
      <c r="M32" s="74">
        <f>SUM(L31:S31)/SUM(L27:S27)</f>
        <v>271.08487187188115</v>
      </c>
      <c r="S32" s="64"/>
      <c r="T32"/>
      <c r="U32" s="7">
        <f>SUM(T31:W31)/SUM(T27:W27)</f>
        <v>269.95870272938583</v>
      </c>
      <c r="W32" s="64"/>
      <c r="X32"/>
      <c r="Y32" s="7">
        <f>SUM(X31:AC31)/SUM(X27:AC27)</f>
        <v>7.808355522691854</v>
      </c>
      <c r="AA32" s="64"/>
      <c r="AC32" s="7"/>
    </row>
    <row r="33" spans="1:29" x14ac:dyDescent="0.3">
      <c r="A33" t="s">
        <v>121</v>
      </c>
      <c r="C33" s="7">
        <f>C24-$C$32</f>
        <v>-20.526444801083585</v>
      </c>
      <c r="E33" s="52">
        <f>E24-$C$32</f>
        <v>2.6996909608453166</v>
      </c>
      <c r="G33" s="7">
        <f>G24-$G$32</f>
        <v>-322.46182790283399</v>
      </c>
      <c r="I33" s="52">
        <f>I24-$G$32</f>
        <v>42.411011280481887</v>
      </c>
      <c r="J33"/>
      <c r="K33" s="7">
        <f>K24-$G$32</f>
        <v>-98.283055021858672</v>
      </c>
      <c r="L33" s="91"/>
      <c r="M33" s="92">
        <f>M24-$M$32</f>
        <v>-1.0482050320648568</v>
      </c>
      <c r="N33" s="75"/>
      <c r="O33" s="75">
        <f>O24-$M$32</f>
        <v>0.13660145781659594</v>
      </c>
      <c r="P33" s="92"/>
      <c r="Q33" s="92">
        <f>Q24-$M$32</f>
        <v>-0.22808479761994249</v>
      </c>
      <c r="R33" s="75"/>
      <c r="S33" s="76">
        <f>S24-$M$32</f>
        <v>0.12117690733879272</v>
      </c>
      <c r="T33"/>
      <c r="U33" s="7">
        <f>U24-$G$32</f>
        <v>-56.691692850874404</v>
      </c>
      <c r="W33" s="76">
        <f>W24-$M$32</f>
        <v>-0.75432296506721741</v>
      </c>
      <c r="X33"/>
      <c r="Y33" s="7">
        <f>Y24-$G$32</f>
        <v>-315.38176037685417</v>
      </c>
      <c r="AA33" s="76">
        <f>AA24-$M$32</f>
        <v>-263.55686008142021</v>
      </c>
      <c r="AC33" s="7">
        <f>AC24-$G$32</f>
        <v>-315.5774244023138</v>
      </c>
    </row>
    <row r="34" spans="1:29" s="14" customFormat="1" ht="75.75" customHeight="1" x14ac:dyDescent="0.3">
      <c r="A34" s="15" t="s">
        <v>40</v>
      </c>
      <c r="B34" s="391"/>
      <c r="C34" s="391"/>
      <c r="D34" s="51"/>
      <c r="E34" s="51"/>
      <c r="H34" s="51"/>
      <c r="I34" s="51"/>
      <c r="J34" s="51"/>
      <c r="K34" s="51"/>
      <c r="L34" s="84"/>
      <c r="M34" s="85"/>
      <c r="N34" s="65"/>
      <c r="O34" s="65"/>
      <c r="P34" s="85"/>
      <c r="Q34" s="85"/>
      <c r="R34" s="65"/>
      <c r="S34" s="66"/>
      <c r="V34" s="51"/>
      <c r="W34" s="51"/>
      <c r="Z34" s="51"/>
      <c r="AA34" s="51"/>
    </row>
    <row r="35" spans="1:29" s="19" customFormat="1" x14ac:dyDescent="0.3">
      <c r="A35" s="20" t="s">
        <v>54</v>
      </c>
      <c r="B35" s="20"/>
      <c r="C35" s="20"/>
      <c r="D35" s="47"/>
      <c r="E35" s="47"/>
      <c r="F35" s="20"/>
      <c r="G35" s="20"/>
      <c r="H35" s="47"/>
      <c r="I35" s="47"/>
      <c r="J35" s="47"/>
      <c r="K35" s="47"/>
      <c r="L35" s="400" t="s">
        <v>136</v>
      </c>
      <c r="M35" s="401"/>
      <c r="N35" s="402" t="s">
        <v>137</v>
      </c>
      <c r="O35" s="402"/>
      <c r="P35" s="401" t="s">
        <v>136</v>
      </c>
      <c r="Q35" s="401"/>
      <c r="R35" s="402" t="s">
        <v>137</v>
      </c>
      <c r="S35" s="403"/>
      <c r="T35" s="20"/>
      <c r="U35" s="20"/>
      <c r="V35" s="47"/>
      <c r="W35" s="47"/>
      <c r="X35" s="20"/>
      <c r="Y35" s="20"/>
      <c r="Z35" s="47"/>
      <c r="AA35" s="47"/>
    </row>
    <row r="36" spans="1:29" x14ac:dyDescent="0.3">
      <c r="A36" s="7" t="s">
        <v>42</v>
      </c>
      <c r="C36" s="4">
        <f>C8*$C29</f>
        <v>0.96510473192907631</v>
      </c>
      <c r="E36" s="49">
        <f>C8*E22</f>
        <v>0.95132058554471666</v>
      </c>
      <c r="G36" s="4">
        <f>G8*$C29</f>
        <v>1.2207716534008441</v>
      </c>
      <c r="I36" s="49">
        <f>G8*E22</f>
        <v>1.2033359341305436</v>
      </c>
      <c r="K36" s="4"/>
      <c r="L36" s="73"/>
      <c r="M36" s="4">
        <f>M8*$C29</f>
        <v>2.3799647814490825</v>
      </c>
      <c r="O36" s="101">
        <f>M8*O22</f>
        <v>2.4313846848841125</v>
      </c>
      <c r="Q36" s="4">
        <f>Q8*$C29</f>
        <v>2.4225599690710111</v>
      </c>
      <c r="S36" s="102">
        <f>Q8*O22</f>
        <v>2.4749001552141672</v>
      </c>
      <c r="T36"/>
      <c r="U36" s="4">
        <f>U8*$C29</f>
        <v>1.2207716534008441</v>
      </c>
      <c r="W36" s="4"/>
      <c r="X36"/>
      <c r="Y36" s="4">
        <f>Y8*$C29</f>
        <v>1.0773585834805095</v>
      </c>
      <c r="AA36" s="4"/>
      <c r="AC36" s="4">
        <f>AC8*$C29</f>
        <v>35.279246555704546</v>
      </c>
    </row>
    <row r="37" spans="1:29" x14ac:dyDescent="0.3">
      <c r="A37" t="s">
        <v>50</v>
      </c>
      <c r="C37" s="4">
        <f>C36-C16</f>
        <v>-0.13989526807092367</v>
      </c>
      <c r="G37" s="4">
        <f>G36-G16</f>
        <v>0.11577165340084417</v>
      </c>
      <c r="K37" s="4"/>
      <c r="L37" s="73"/>
      <c r="M37" s="93">
        <f>M36-M16</f>
        <v>2.696478144908232E-2</v>
      </c>
      <c r="O37" s="101">
        <f>O36-M16</f>
        <v>7.8384684884112321E-2</v>
      </c>
      <c r="Q37" s="93">
        <f>Q36-Q16</f>
        <v>5.7559969071010908E-2</v>
      </c>
      <c r="S37" s="102">
        <f>S36-Q16</f>
        <v>0.10990015521416696</v>
      </c>
      <c r="T37"/>
      <c r="U37" s="4">
        <f>U36-U16</f>
        <v>0.23277165340084416</v>
      </c>
      <c r="X37"/>
      <c r="Y37" s="4">
        <f>Y36-Y16</f>
        <v>8.9358583480509512E-2</v>
      </c>
      <c r="AC37" s="4">
        <f>AC36-AC16</f>
        <v>0.87924655570454746</v>
      </c>
    </row>
    <row r="38" spans="1:29" x14ac:dyDescent="0.3">
      <c r="A38" t="s">
        <v>51</v>
      </c>
      <c r="C38" s="23">
        <f>C37/C16</f>
        <v>-0.1266020525528721</v>
      </c>
      <c r="G38" s="23">
        <f>G37/G16</f>
        <v>0.10477072705958748</v>
      </c>
      <c r="K38" s="23"/>
      <c r="L38" s="73"/>
      <c r="M38" s="94">
        <f>M37/M16</f>
        <v>1.1459745622219429E-2</v>
      </c>
      <c r="O38" s="99">
        <f>O37/M16</f>
        <v>3.331265825929125E-2</v>
      </c>
      <c r="Q38" s="94">
        <f>Q37/Q16</f>
        <v>2.4338253306981354E-2</v>
      </c>
      <c r="S38" s="103">
        <f>S37/Q16</f>
        <v>4.6469410238548392E-2</v>
      </c>
      <c r="T38"/>
      <c r="U38" s="23">
        <f>U37/U16</f>
        <v>0.23559883947453863</v>
      </c>
      <c r="X38"/>
      <c r="Y38" s="23">
        <f>Y37/Y16</f>
        <v>9.0443910405374001E-2</v>
      </c>
      <c r="AC38" s="23">
        <f>AC37/AC16</f>
        <v>2.5559492898388009E-2</v>
      </c>
    </row>
    <row r="39" spans="1:29" x14ac:dyDescent="0.3">
      <c r="A39" s="29" t="s">
        <v>53</v>
      </c>
      <c r="B39">
        <f>AVERAGE(B37:G37)</f>
        <v>-1.2061807335039754E-2</v>
      </c>
      <c r="C39" s="23">
        <f>AVERAGE(C38:G38)</f>
        <v>-1.091566274664231E-2</v>
      </c>
      <c r="G39" s="23"/>
      <c r="K39" s="23"/>
      <c r="L39" s="100">
        <f>AVERAGE(M37,Q37)</f>
        <v>4.2262375260046614E-2</v>
      </c>
      <c r="M39" s="94">
        <f>AVERAGE(M37,Q37)</f>
        <v>4.2262375260046614E-2</v>
      </c>
      <c r="Q39" s="94"/>
      <c r="S39" s="64"/>
      <c r="T39"/>
      <c r="U39" s="23"/>
      <c r="X39"/>
      <c r="Y39" s="23"/>
      <c r="AC39" s="23"/>
    </row>
    <row r="40" spans="1:29" x14ac:dyDescent="0.3">
      <c r="A40" s="29" t="s">
        <v>52</v>
      </c>
      <c r="B40">
        <f>STDEV(B37:G37)</f>
        <v>0.18078381389777556</v>
      </c>
      <c r="C40" s="23">
        <f>STDEV(C38:G38)</f>
        <v>0.16360526144595075</v>
      </c>
      <c r="G40" s="23"/>
      <c r="K40" s="23"/>
      <c r="L40" s="73">
        <f>STDEV(M37,Q37)</f>
        <v>2.163406463914043E-2</v>
      </c>
      <c r="M40" s="94">
        <f>STDEV(M37,Q37)</f>
        <v>2.163406463914043E-2</v>
      </c>
      <c r="Q40" s="94"/>
      <c r="S40" s="64"/>
      <c r="T40"/>
      <c r="U40" s="23"/>
      <c r="X40"/>
      <c r="Y40" s="23"/>
      <c r="AC40" s="23"/>
    </row>
    <row r="41" spans="1:29" x14ac:dyDescent="0.3">
      <c r="C41" s="23"/>
      <c r="G41" s="4"/>
      <c r="K41" s="4"/>
      <c r="L41" s="73"/>
      <c r="M41" s="93"/>
      <c r="Q41" s="93"/>
      <c r="S41" s="64"/>
      <c r="T41"/>
      <c r="U41" s="4"/>
      <c r="X41"/>
      <c r="Y41" s="4"/>
      <c r="AC41" s="4"/>
    </row>
    <row r="42" spans="1:29" x14ac:dyDescent="0.3">
      <c r="A42" s="7" t="s">
        <v>43</v>
      </c>
      <c r="C42" s="4">
        <f>MOD(C9-$C32,360)</f>
        <v>169.56355519891645</v>
      </c>
      <c r="E42" s="4">
        <f>MOD(C9-$E24,360)</f>
        <v>166.86386423807113</v>
      </c>
      <c r="G42" s="4">
        <f>MOD(G9-$G32,360)</f>
        <v>227.62817209716604</v>
      </c>
      <c r="I42" s="4">
        <f>MOD(G9-$I24,360)</f>
        <v>185.21716081668416</v>
      </c>
      <c r="K42" s="4"/>
      <c r="L42" s="73"/>
      <c r="M42" s="93">
        <f>MOD(M9-$M32,360)</f>
        <v>346.98179496793512</v>
      </c>
      <c r="O42" s="101">
        <f>MOD(M9-$O25,360)</f>
        <v>346.85290578535745</v>
      </c>
      <c r="Q42" s="93">
        <f>MOD(Q9-$M32,360)</f>
        <v>78.561915202380078</v>
      </c>
      <c r="S42" s="102">
        <f>MOD(Q9-$O25,360)</f>
        <v>78.433026019802412</v>
      </c>
      <c r="T42"/>
      <c r="U42" s="4">
        <f>MOD(U9-$U32,360)</f>
        <v>258.73136479659394</v>
      </c>
      <c r="X42"/>
      <c r="Y42" s="4">
        <f>MOD(Y9-$Y32,360)</f>
        <v>262.19164447730816</v>
      </c>
      <c r="AC42" s="4">
        <f>MOD(AC9-$Y32,360)</f>
        <v>54.295980451848536</v>
      </c>
    </row>
    <row r="43" spans="1:29" x14ac:dyDescent="0.3">
      <c r="A43" t="s">
        <v>55</v>
      </c>
      <c r="C43" s="4">
        <f>C42-C17</f>
        <v>-20.526444801083557</v>
      </c>
      <c r="G43" s="4">
        <f>G42-G17</f>
        <v>37.53817209716604</v>
      </c>
      <c r="K43" s="4"/>
      <c r="L43" s="73"/>
      <c r="M43" s="93">
        <f>M42-M17</f>
        <v>-1.0482050320648568</v>
      </c>
      <c r="O43" s="101">
        <f>O42-M17</f>
        <v>-1.1770942146425227</v>
      </c>
      <c r="Q43" s="93">
        <f>Q42-Q17</f>
        <v>-0.22808479761992828</v>
      </c>
      <c r="S43" s="102">
        <f>S42-Q17</f>
        <v>-0.35697398019759419</v>
      </c>
      <c r="T43"/>
      <c r="U43" s="4">
        <f>U42-U17</f>
        <v>-2.9686352034060519</v>
      </c>
      <c r="X43"/>
      <c r="Y43" s="4">
        <f>Y42-Y17</f>
        <v>0.49164447730817074</v>
      </c>
      <c r="AC43" s="4">
        <f>AC42-AC17</f>
        <v>0.29598045184853561</v>
      </c>
    </row>
    <row r="44" spans="1:29" x14ac:dyDescent="0.3">
      <c r="A44" t="s">
        <v>56</v>
      </c>
      <c r="B44">
        <f>AVERAGE(B43:G43)</f>
        <v>8.5058636480412417</v>
      </c>
      <c r="C44" s="4"/>
      <c r="E44" s="106">
        <f>AVERAGE(E42,I42)</f>
        <v>176.04051252737764</v>
      </c>
      <c r="G44" s="4"/>
      <c r="I44" s="106"/>
      <c r="L44" s="100">
        <f>AVERAGE(M43,Q43)</f>
        <v>-0.63814491484239255</v>
      </c>
      <c r="S44" s="64"/>
      <c r="T44"/>
      <c r="U44" s="4"/>
      <c r="X44"/>
      <c r="Y44" s="4"/>
      <c r="AC44" s="4"/>
    </row>
    <row r="45" spans="1:29" x14ac:dyDescent="0.3">
      <c r="A45" t="s">
        <v>57</v>
      </c>
      <c r="B45">
        <f>STDEV(B43:G43)</f>
        <v>41.057884355751284</v>
      </c>
      <c r="C45" s="4"/>
      <c r="G45" s="4"/>
      <c r="L45" s="73">
        <f>STDEV(M43,Q43)</f>
        <v>0.57991257916431016</v>
      </c>
      <c r="S45" s="64"/>
      <c r="T45"/>
      <c r="U45" s="4"/>
      <c r="X45"/>
      <c r="Y45" s="4"/>
      <c r="AC45" s="4"/>
    </row>
    <row r="46" spans="1:29" x14ac:dyDescent="0.3">
      <c r="C46" s="4"/>
      <c r="G46" s="4"/>
      <c r="L46" s="73"/>
      <c r="S46" s="64"/>
      <c r="T46"/>
      <c r="U46" s="4"/>
      <c r="X46"/>
      <c r="Y46" s="4"/>
      <c r="AC46" s="4"/>
    </row>
    <row r="47" spans="1:29" x14ac:dyDescent="0.3">
      <c r="A47" t="s">
        <v>44</v>
      </c>
      <c r="B47" s="9">
        <f>-C36*SIN((C42)/180*PI())</f>
        <v>-0.1748236462934786</v>
      </c>
      <c r="C47" s="9">
        <f>C36*COS((C42)/180*PI())</f>
        <v>-0.94913847055555955</v>
      </c>
      <c r="F47" s="9">
        <f>-G36*SIN((G42)/180*PI())</f>
        <v>0.90188998705021606</v>
      </c>
      <c r="G47" s="9">
        <f>G36*COS((G42)/180*PI())</f>
        <v>-0.82272588448741035</v>
      </c>
      <c r="L47" s="71">
        <f>-M36*SIN((M42)/180*PI())</f>
        <v>0.5361123830291511</v>
      </c>
      <c r="M47" s="72">
        <f>M36*COS((M42)/180*PI())</f>
        <v>2.3187962121973511</v>
      </c>
      <c r="N47" s="97">
        <f>-O36*SIN((O42)/180*PI())</f>
        <v>0.55302279743679117</v>
      </c>
      <c r="O47" s="97">
        <f>O36*COS((O42)/180*PI())</f>
        <v>2.3676564935404376</v>
      </c>
      <c r="P47" s="72">
        <f>-Q36*SIN((Q42)/180*PI())</f>
        <v>-2.374446896628335</v>
      </c>
      <c r="Q47" s="72">
        <f>Q36*COS((Q42)/180*PI())</f>
        <v>0.4804151734046383</v>
      </c>
      <c r="R47" s="97">
        <f>-S36*SIN((S42)/180*PI())</f>
        <v>-2.4246373850556466</v>
      </c>
      <c r="S47" s="98">
        <f>S36*COS((S42)/180*PI())</f>
        <v>0.49625026878544304</v>
      </c>
      <c r="T47" s="9">
        <f>-U36*SIN((U42)/180*PI())</f>
        <v>1.1972373443170792</v>
      </c>
      <c r="U47" s="9">
        <f>U36*COS((U42)/180*PI())</f>
        <v>-0.23855014382644615</v>
      </c>
      <c r="X47" s="9">
        <f>-Y36*SIN((Y42)/180*PI())</f>
        <v>1.0673693560080058</v>
      </c>
      <c r="Y47" s="9">
        <f>Y36*COS((Y42)/180*PI())</f>
        <v>-0.14636999437789594</v>
      </c>
      <c r="AB47" s="9">
        <f>-AC36*SIN((AC42)/180*PI())</f>
        <v>-28.648250638362082</v>
      </c>
      <c r="AC47" s="9">
        <f>AC36*COS((AC42)/180*PI())</f>
        <v>20.588904120903997</v>
      </c>
    </row>
    <row r="48" spans="1:29" s="10" customFormat="1" x14ac:dyDescent="0.3">
      <c r="A48" t="s">
        <v>45</v>
      </c>
      <c r="B48" s="9">
        <f t="shared" ref="B48:G48" si="4">B47-B18</f>
        <v>-0.36841400549169079</v>
      </c>
      <c r="C48" s="9">
        <f t="shared" si="4"/>
        <v>0.13877134777751665</v>
      </c>
      <c r="D48" s="49"/>
      <c r="E48" s="49"/>
      <c r="F48" s="9">
        <f t="shared" si="4"/>
        <v>0.70829962785200384</v>
      </c>
      <c r="G48" s="9">
        <f t="shared" si="4"/>
        <v>0.26518393384566585</v>
      </c>
      <c r="H48" s="49"/>
      <c r="I48" s="49"/>
      <c r="J48" s="49"/>
      <c r="K48" s="49"/>
      <c r="L48" s="71">
        <f>L47-L18</f>
        <v>4.8101346693586788E-2</v>
      </c>
      <c r="M48" s="72">
        <f>M47-M18</f>
        <v>1.6959070170424528E-2</v>
      </c>
      <c r="N48" s="97">
        <f>N47-L18</f>
        <v>6.5011761101226861E-2</v>
      </c>
      <c r="O48" s="97">
        <f>O47-M18</f>
        <v>6.5819351513511037E-2</v>
      </c>
      <c r="P48" s="72">
        <f>P47-P18</f>
        <v>-5.456816374673501E-2</v>
      </c>
      <c r="Q48" s="72">
        <f>Q47-Q18</f>
        <v>2.0646030547417704E-2</v>
      </c>
      <c r="R48" s="97">
        <f>R47-P18</f>
        <v>-0.10475865217404667</v>
      </c>
      <c r="S48" s="98">
        <f>S47-Q18</f>
        <v>3.6481125928222446E-2</v>
      </c>
      <c r="T48" s="9">
        <f>T47-T18</f>
        <v>0.21958586471693753</v>
      </c>
      <c r="U48" s="9">
        <f>U47-U18</f>
        <v>-9.592621723748368E-2</v>
      </c>
      <c r="V48" s="49"/>
      <c r="W48" s="49"/>
      <c r="X48" s="9">
        <f>X47-X18</f>
        <v>8.9717876407864106E-2</v>
      </c>
      <c r="Y48" s="9">
        <f>Y47-Y18</f>
        <v>-3.7460677889334659E-3</v>
      </c>
      <c r="Z48" s="49"/>
      <c r="AA48" s="49"/>
      <c r="AB48" s="9">
        <f>AB47-AB18</f>
        <v>-0.81806603186389282</v>
      </c>
      <c r="AC48" s="9">
        <f>AC47-AC18</f>
        <v>0.36909144204292232</v>
      </c>
    </row>
    <row r="49" spans="1:29" x14ac:dyDescent="0.3">
      <c r="A49" t="s">
        <v>46</v>
      </c>
      <c r="B49">
        <f t="shared" ref="B49:G49" si="5">B48^2</f>
        <v>0.13572887944243156</v>
      </c>
      <c r="C49">
        <f t="shared" si="5"/>
        <v>1.9257486963988477E-2</v>
      </c>
      <c r="F49">
        <f t="shared" si="5"/>
        <v>0.50168836281528717</v>
      </c>
      <c r="G49">
        <f t="shared" si="5"/>
        <v>7.032251876986248E-2</v>
      </c>
      <c r="L49" s="73">
        <f t="shared" ref="L49:U49" si="6">L48^2</f>
        <v>2.3137395537366325E-3</v>
      </c>
      <c r="M49" s="74">
        <f t="shared" si="6"/>
        <v>2.8761006104538304E-4</v>
      </c>
      <c r="N49" s="63">
        <f t="shared" si="6"/>
        <v>4.2265290814829937E-3</v>
      </c>
      <c r="O49" s="63">
        <f t="shared" si="6"/>
        <v>4.3321870336591279E-3</v>
      </c>
      <c r="P49" s="74">
        <f t="shared" si="6"/>
        <v>2.9776844946904852E-3</v>
      </c>
      <c r="Q49" s="74">
        <f t="shared" si="6"/>
        <v>4.2625857736490496E-4</v>
      </c>
      <c r="R49" s="63">
        <f t="shared" si="6"/>
        <v>1.0974375205322894E-2</v>
      </c>
      <c r="S49" s="64">
        <f t="shared" si="6"/>
        <v>1.330872548990824E-3</v>
      </c>
      <c r="T49">
        <f t="shared" si="6"/>
        <v>4.8217951983485191E-2</v>
      </c>
      <c r="U49">
        <f t="shared" si="6"/>
        <v>9.2018391534929109E-3</v>
      </c>
      <c r="X49">
        <f>X48^2</f>
        <v>8.0492973471367781E-3</v>
      </c>
      <c r="Y49">
        <f>Y48^2</f>
        <v>1.4033023879284866E-5</v>
      </c>
      <c r="AB49">
        <f>AB48^2</f>
        <v>0.66923203248953567</v>
      </c>
      <c r="AC49">
        <f>AC48^2</f>
        <v>0.1362284925893239</v>
      </c>
    </row>
    <row r="50" spans="1:29" s="10" customFormat="1" x14ac:dyDescent="0.3">
      <c r="A50" t="s">
        <v>47</v>
      </c>
      <c r="B50" s="9"/>
      <c r="C50" s="9">
        <f>SQRT(B49+C49)</f>
        <v>0.39368307863866853</v>
      </c>
      <c r="D50" s="49"/>
      <c r="E50" s="49"/>
      <c r="F50" s="9"/>
      <c r="G50" s="9">
        <f>SQRT(F49+G49)</f>
        <v>0.75631400990934294</v>
      </c>
      <c r="H50" s="49"/>
      <c r="I50" s="49"/>
      <c r="J50" s="49"/>
      <c r="K50" s="49"/>
      <c r="L50" s="71"/>
      <c r="M50" s="72">
        <f>SQRT(L49+M49)</f>
        <v>5.1003427480729328E-2</v>
      </c>
      <c r="N50" s="97"/>
      <c r="O50" s="97">
        <f>SQRT(N49+O49)</f>
        <v>9.2513329391726698E-2</v>
      </c>
      <c r="P50" s="72"/>
      <c r="Q50" s="72">
        <f>SQRT(P49+Q49)</f>
        <v>5.8343320715017501E-2</v>
      </c>
      <c r="R50" s="97"/>
      <c r="S50" s="98">
        <f>SQRT(R49+S49)</f>
        <v>0.11092902124472981</v>
      </c>
      <c r="T50" s="9"/>
      <c r="U50" s="9">
        <f>SQRT(T49+U49)</f>
        <v>0.23962427075940806</v>
      </c>
      <c r="V50" s="49"/>
      <c r="W50" s="49"/>
      <c r="X50" s="9"/>
      <c r="Y50" s="9">
        <f>SQRT(X49+Y49)</f>
        <v>8.9796048749463703E-2</v>
      </c>
      <c r="Z50" s="49"/>
      <c r="AA50" s="49"/>
      <c r="AB50" s="9"/>
      <c r="AC50" s="9">
        <f>SQRT(AB49+AC49)</f>
        <v>0.8974745261448146</v>
      </c>
    </row>
    <row r="51" spans="1:29" s="10" customFormat="1" x14ac:dyDescent="0.3">
      <c r="A51" t="s">
        <v>48</v>
      </c>
      <c r="B51" s="9"/>
      <c r="C51" s="11">
        <f>C50/C36</f>
        <v>0.40791746803661877</v>
      </c>
      <c r="D51" s="49"/>
      <c r="E51" s="49"/>
      <c r="G51" s="11">
        <f>G50/G36</f>
        <v>0.61953765702405683</v>
      </c>
      <c r="H51" s="49"/>
      <c r="I51" s="49"/>
      <c r="J51" s="49"/>
      <c r="K51" s="49"/>
      <c r="L51" s="71"/>
      <c r="M51" s="77">
        <f>M50/M36</f>
        <v>2.14303286663238E-2</v>
      </c>
      <c r="N51" s="97"/>
      <c r="O51" s="104">
        <f>O50/O36</f>
        <v>3.8049647168907859E-2</v>
      </c>
      <c r="P51" s="72"/>
      <c r="Q51" s="77">
        <f>Q50/Q36</f>
        <v>2.4083333935956453E-2</v>
      </c>
      <c r="R51" s="97"/>
      <c r="S51" s="105">
        <f>S50/S36</f>
        <v>4.4821614726970868E-2</v>
      </c>
      <c r="U51" s="11">
        <f>U50/U36</f>
        <v>0.1962891832324736</v>
      </c>
      <c r="V51" s="49"/>
      <c r="W51" s="49"/>
      <c r="Y51" s="11">
        <f>Y50/Y36</f>
        <v>8.3348339286785103E-2</v>
      </c>
      <c r="Z51" s="49"/>
      <c r="AA51" s="49"/>
      <c r="AC51" s="11">
        <f>AC50/AC36</f>
        <v>2.5439163637685332E-2</v>
      </c>
    </row>
    <row r="52" spans="1:29" s="10" customFormat="1" x14ac:dyDescent="0.3">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9" s="10" customFormat="1" x14ac:dyDescent="0.3">
      <c r="A53" t="s">
        <v>89</v>
      </c>
      <c r="B53" s="9">
        <f>MEDIAN(B50:G50)</f>
        <v>0.57499854427400576</v>
      </c>
      <c r="C53" s="12"/>
      <c r="D53" s="49"/>
      <c r="E53" s="49"/>
      <c r="G53" s="11"/>
      <c r="H53" s="49"/>
      <c r="I53" s="49"/>
      <c r="J53" s="49"/>
      <c r="K53" s="49"/>
      <c r="L53" s="73">
        <f>MEDIAN(M50,Q50)</f>
        <v>5.4673374097873415E-2</v>
      </c>
      <c r="M53" s="74"/>
      <c r="N53" s="63">
        <f>MEDIAN(O50,S50)</f>
        <v>0.10172117531822825</v>
      </c>
      <c r="O53" s="63"/>
      <c r="P53" s="74"/>
      <c r="Q53" s="74"/>
      <c r="R53" s="63"/>
      <c r="S53" s="64"/>
      <c r="T53" s="9">
        <f>MEDIAN(T50:Y50)</f>
        <v>0.16471015975443587</v>
      </c>
      <c r="U53" s="29"/>
      <c r="V53" s="49"/>
      <c r="W53" s="49"/>
      <c r="X53" s="29"/>
      <c r="Y53" s="29"/>
      <c r="Z53" s="49"/>
      <c r="AA53" s="49"/>
    </row>
    <row r="54" spans="1:29" s="10" customFormat="1" x14ac:dyDescent="0.3">
      <c r="A54" t="s">
        <v>81</v>
      </c>
      <c r="B54" s="9">
        <f>AVERAGE(B50:G50)</f>
        <v>0.57499854427400576</v>
      </c>
      <c r="C54" s="12"/>
      <c r="D54" s="49"/>
      <c r="E54" s="49"/>
      <c r="G54" s="11"/>
      <c r="H54" s="49"/>
      <c r="I54" s="49"/>
      <c r="J54" s="49"/>
      <c r="K54" s="49"/>
      <c r="L54" s="73">
        <f>AVERAGE(M50,Q50)</f>
        <v>5.4673374097873415E-2</v>
      </c>
      <c r="M54" s="74"/>
      <c r="N54" s="63">
        <f>AVERAGE(O50,S50)</f>
        <v>0.10172117531822825</v>
      </c>
      <c r="O54" s="63"/>
      <c r="P54" s="74"/>
      <c r="Q54" s="74"/>
      <c r="R54" s="63"/>
      <c r="S54" s="64"/>
      <c r="T54" s="9">
        <f>AVERAGE(T50:Y50)</f>
        <v>0.16471015975443587</v>
      </c>
      <c r="U54" s="29"/>
      <c r="V54" s="49"/>
      <c r="W54" s="49"/>
      <c r="X54" s="29"/>
      <c r="Y54" s="29"/>
      <c r="Z54" s="49"/>
      <c r="AA54" s="49"/>
    </row>
    <row r="55" spans="1:29" s="10" customFormat="1" x14ac:dyDescent="0.3">
      <c r="A55" t="s">
        <v>82</v>
      </c>
      <c r="B55" s="9">
        <f>STDEV(B50:G50)</f>
        <v>0.25641879056948652</v>
      </c>
      <c r="C55" s="12"/>
      <c r="D55" s="49"/>
      <c r="E55" s="49"/>
      <c r="G55" s="11"/>
      <c r="H55" s="49"/>
      <c r="I55" s="49"/>
      <c r="J55" s="49"/>
      <c r="K55" s="49"/>
      <c r="L55" s="73">
        <f>STDEV(M50,Q50)</f>
        <v>5.1900882791504274E-3</v>
      </c>
      <c r="M55" s="74"/>
      <c r="N55" s="63">
        <f>STDEV(O50,S50)</f>
        <v>1.3021860589500356E-2</v>
      </c>
      <c r="O55" s="63"/>
      <c r="P55" s="74"/>
      <c r="Q55" s="74"/>
      <c r="R55" s="63"/>
      <c r="S55" s="64"/>
      <c r="T55" s="9">
        <f>STDEV(T50:Y50)</f>
        <v>0.10594455179635522</v>
      </c>
      <c r="U55" s="29"/>
      <c r="V55" s="49"/>
      <c r="W55" s="49"/>
      <c r="X55" s="29"/>
      <c r="Y55" s="29"/>
      <c r="Z55" s="49"/>
      <c r="AA55" s="49"/>
    </row>
    <row r="56" spans="1:29" s="10" customFormat="1" x14ac:dyDescent="0.3">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9" s="10" customFormat="1" x14ac:dyDescent="0.3">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9" s="10" customFormat="1" x14ac:dyDescent="0.3">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9" x14ac:dyDescent="0.3">
      <c r="A59" s="7" t="s">
        <v>115</v>
      </c>
      <c r="B59">
        <f>AVERAGE(B36:I36)</f>
        <v>1.0851332262512952</v>
      </c>
      <c r="L59" s="73"/>
      <c r="S59" s="64"/>
      <c r="T59">
        <f>AVERAGE(T36:AA36)</f>
        <v>1.1490651184406768</v>
      </c>
    </row>
    <row r="60" spans="1:29" x14ac:dyDescent="0.3">
      <c r="A60" s="10" t="s">
        <v>116</v>
      </c>
      <c r="B60">
        <f>STDEV(B36:I36)</f>
        <v>0.14683587814486107</v>
      </c>
      <c r="L60" s="73"/>
      <c r="S60" s="64"/>
      <c r="T60">
        <f>STDEV(T36:AA36)</f>
        <v>0.10140835425144912</v>
      </c>
    </row>
    <row r="61" spans="1:29" x14ac:dyDescent="0.3">
      <c r="A61" s="10" t="s">
        <v>117</v>
      </c>
      <c r="B61">
        <f>AVERAGE(B42:I42)</f>
        <v>187.31818808770942</v>
      </c>
      <c r="L61" s="73"/>
      <c r="S61" s="64"/>
      <c r="T61">
        <f>AVERAGE(T42:AA42)</f>
        <v>260.46150463695108</v>
      </c>
    </row>
    <row r="62" spans="1:29" ht="15" thickBot="1" x14ac:dyDescent="0.35">
      <c r="A62" s="10" t="s">
        <v>118</v>
      </c>
      <c r="B62">
        <f>STDEV(B42:I42)</f>
        <v>28.064897883287195</v>
      </c>
      <c r="L62" s="95"/>
      <c r="M62" s="96"/>
      <c r="N62" s="78"/>
      <c r="O62" s="78"/>
      <c r="P62" s="96"/>
      <c r="Q62" s="96"/>
      <c r="R62" s="78"/>
      <c r="S62" s="79"/>
      <c r="T62">
        <f>STDEV(T42:AA42)</f>
        <v>2.4467872270350481</v>
      </c>
    </row>
    <row r="63" spans="1:29" x14ac:dyDescent="0.3">
      <c r="T63" s="280">
        <f>T59*T62/57</f>
        <v>4.9324874646178289E-2</v>
      </c>
    </row>
  </sheetData>
  <mergeCells count="15">
    <mergeCell ref="AB19:AC19"/>
    <mergeCell ref="N35:O35"/>
    <mergeCell ref="P35:Q35"/>
    <mergeCell ref="T10:U10"/>
    <mergeCell ref="B19:C19"/>
    <mergeCell ref="F19:G19"/>
    <mergeCell ref="L10:M10"/>
    <mergeCell ref="P10:Q10"/>
    <mergeCell ref="R35:S35"/>
    <mergeCell ref="B10:C10"/>
    <mergeCell ref="D10:E10"/>
    <mergeCell ref="F10:G10"/>
    <mergeCell ref="H10:I10"/>
    <mergeCell ref="B34:C34"/>
    <mergeCell ref="L35:M35"/>
  </mergeCells>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3"/>
  <sheetViews>
    <sheetView zoomScale="85" zoomScaleNormal="85" workbookViewId="0">
      <pane xSplit="1" ySplit="2" topLeftCell="AH3" activePane="bottomRight" state="frozenSplit"/>
      <selection pane="topRight"/>
      <selection pane="bottomLeft" activeCell="A3" sqref="A3"/>
      <selection pane="bottomRight" activeCell="AP34" sqref="AP34:AQ34"/>
    </sheetView>
  </sheetViews>
  <sheetFormatPr defaultRowHeight="14.4" x14ac:dyDescent="0.3"/>
  <cols>
    <col min="1" max="1" width="28" customWidth="1"/>
    <col min="2" max="3" width="11.6640625" customWidth="1"/>
    <col min="4" max="7" width="9.109375" style="49" customWidth="1"/>
    <col min="8" max="9" width="11.6640625" customWidth="1"/>
    <col min="10" max="11" width="9.109375" style="49" customWidth="1"/>
    <col min="12" max="13" width="11.6640625" customWidth="1"/>
    <col min="14" max="15" width="9.109375" style="49" customWidth="1"/>
    <col min="16" max="17" width="11.6640625" customWidth="1"/>
    <col min="18" max="19" width="9.109375" style="49" customWidth="1"/>
    <col min="20" max="21" width="11.6640625" customWidth="1"/>
    <col min="22" max="25" width="9.109375" style="49" customWidth="1"/>
    <col min="26" max="27" width="11.6640625" customWidth="1"/>
    <col min="28" max="29" width="9.109375" style="49" customWidth="1"/>
    <col min="30" max="31" width="11.6640625" customWidth="1"/>
    <col min="32" max="33" width="9.109375" style="49" customWidth="1"/>
    <col min="34" max="35" width="11.6640625" customWidth="1"/>
    <col min="36" max="37" width="9.109375" style="49" customWidth="1"/>
    <col min="38" max="39" width="11.6640625" customWidth="1"/>
    <col min="40" max="41" width="9.109375" style="49" customWidth="1"/>
    <col min="42" max="43" width="11.6640625" customWidth="1"/>
    <col min="44" max="47" width="9.109375" style="49" customWidth="1"/>
  </cols>
  <sheetData>
    <row r="1" spans="1:47" s="19" customFormat="1" x14ac:dyDescent="0.3">
      <c r="A1" s="20" t="s">
        <v>39</v>
      </c>
      <c r="B1" s="20"/>
      <c r="C1" s="20"/>
      <c r="D1" s="47"/>
      <c r="E1" s="47"/>
      <c r="F1" s="47"/>
      <c r="G1" s="47"/>
      <c r="H1" s="20"/>
      <c r="I1" s="20"/>
      <c r="J1" s="47"/>
      <c r="K1" s="47"/>
      <c r="L1" s="20"/>
      <c r="M1" s="20"/>
      <c r="N1" s="47"/>
      <c r="O1" s="47"/>
      <c r="P1" s="20"/>
      <c r="Q1" s="20"/>
      <c r="R1" s="47"/>
      <c r="S1" s="47"/>
      <c r="T1" s="20"/>
      <c r="U1" s="20"/>
      <c r="V1" s="47"/>
      <c r="W1" s="47"/>
      <c r="X1" s="47"/>
      <c r="Y1" s="47"/>
      <c r="Z1" s="20"/>
      <c r="AA1" s="20"/>
      <c r="AB1" s="47"/>
      <c r="AC1" s="47"/>
      <c r="AD1" s="20"/>
      <c r="AE1" s="20"/>
      <c r="AF1" s="47"/>
      <c r="AG1" s="47"/>
      <c r="AH1" s="20"/>
      <c r="AI1" s="20"/>
      <c r="AJ1" s="47"/>
      <c r="AK1" s="47"/>
      <c r="AL1" s="20"/>
      <c r="AM1" s="20"/>
      <c r="AN1" s="47"/>
      <c r="AO1" s="47"/>
      <c r="AP1" s="20"/>
      <c r="AQ1" s="20"/>
      <c r="AR1" s="47"/>
      <c r="AS1" s="47"/>
      <c r="AT1" s="47"/>
      <c r="AU1" s="47"/>
    </row>
    <row r="2" spans="1:47" s="13" customFormat="1" x14ac:dyDescent="0.3">
      <c r="B2" s="27"/>
      <c r="C2" s="27" t="s">
        <v>147</v>
      </c>
      <c r="D2" s="48"/>
      <c r="E2" s="48" t="s">
        <v>148</v>
      </c>
      <c r="F2" s="48"/>
      <c r="G2" s="48" t="s">
        <v>149</v>
      </c>
      <c r="H2" s="27"/>
      <c r="I2" s="27" t="s">
        <v>150</v>
      </c>
      <c r="J2" s="48"/>
      <c r="K2" s="48" t="s">
        <v>151</v>
      </c>
      <c r="L2" s="27"/>
      <c r="M2" s="27" t="s">
        <v>154</v>
      </c>
      <c r="N2" s="48"/>
      <c r="O2" s="48" t="s">
        <v>157</v>
      </c>
      <c r="P2" s="27"/>
      <c r="Q2" s="27" t="s">
        <v>155</v>
      </c>
      <c r="R2" s="48"/>
      <c r="S2" s="48" t="s">
        <v>156</v>
      </c>
      <c r="T2" s="27"/>
      <c r="U2" s="27" t="s">
        <v>158</v>
      </c>
      <c r="V2" s="48"/>
      <c r="W2" s="48" t="s">
        <v>159</v>
      </c>
      <c r="X2" s="48"/>
      <c r="Y2" s="48" t="s">
        <v>159</v>
      </c>
      <c r="Z2" s="27"/>
      <c r="AA2" s="27" t="s">
        <v>162</v>
      </c>
      <c r="AB2" s="48"/>
      <c r="AC2" s="48" t="s">
        <v>163</v>
      </c>
      <c r="AD2" s="27"/>
      <c r="AE2" s="27" t="s">
        <v>160</v>
      </c>
      <c r="AF2" s="48"/>
      <c r="AG2" s="48" t="s">
        <v>161</v>
      </c>
      <c r="AH2" s="27"/>
      <c r="AI2" s="27" t="s">
        <v>164</v>
      </c>
      <c r="AJ2" s="48"/>
      <c r="AK2" s="48" t="s">
        <v>165</v>
      </c>
      <c r="AL2" s="27"/>
      <c r="AM2" s="27" t="s">
        <v>166</v>
      </c>
      <c r="AN2" s="48"/>
      <c r="AO2" s="48" t="s">
        <v>167</v>
      </c>
      <c r="AP2" s="27"/>
      <c r="AQ2" s="27" t="s">
        <v>170</v>
      </c>
      <c r="AR2" s="48"/>
      <c r="AS2" s="48" t="s">
        <v>171</v>
      </c>
      <c r="AT2" s="48"/>
      <c r="AU2" s="48" t="s">
        <v>172</v>
      </c>
    </row>
    <row r="3" spans="1:47" s="13" customFormat="1" x14ac:dyDescent="0.3">
      <c r="B3" s="27" t="s">
        <v>61</v>
      </c>
      <c r="C3" s="27" t="s">
        <v>60</v>
      </c>
      <c r="D3" s="48"/>
      <c r="E3" s="48"/>
      <c r="F3" s="48"/>
      <c r="G3" s="48"/>
      <c r="H3" s="27" t="s">
        <v>61</v>
      </c>
      <c r="I3" s="27" t="s">
        <v>60</v>
      </c>
      <c r="J3" s="48"/>
      <c r="K3" s="48"/>
      <c r="L3" s="27" t="s">
        <v>61</v>
      </c>
      <c r="M3" s="27" t="s">
        <v>60</v>
      </c>
      <c r="N3" s="48"/>
      <c r="O3" s="48"/>
      <c r="P3" s="27" t="s">
        <v>61</v>
      </c>
      <c r="Q3" s="27" t="s">
        <v>60</v>
      </c>
      <c r="R3" s="48"/>
      <c r="S3" s="48"/>
      <c r="T3" s="27" t="s">
        <v>61</v>
      </c>
      <c r="U3" s="27" t="s">
        <v>60</v>
      </c>
      <c r="V3" s="48"/>
      <c r="W3" s="48"/>
      <c r="X3" s="48"/>
      <c r="Y3" s="48"/>
      <c r="Z3" s="27" t="s">
        <v>61</v>
      </c>
      <c r="AA3" s="27" t="s">
        <v>60</v>
      </c>
      <c r="AB3" s="48"/>
      <c r="AC3" s="48"/>
      <c r="AD3" s="27" t="s">
        <v>61</v>
      </c>
      <c r="AE3" s="27" t="s">
        <v>60</v>
      </c>
      <c r="AF3" s="48"/>
      <c r="AG3" s="48"/>
      <c r="AH3" s="27" t="s">
        <v>61</v>
      </c>
      <c r="AI3" s="27" t="s">
        <v>60</v>
      </c>
      <c r="AJ3" s="48"/>
      <c r="AK3" s="48"/>
      <c r="AL3" s="27" t="s">
        <v>61</v>
      </c>
      <c r="AM3" s="27" t="s">
        <v>60</v>
      </c>
      <c r="AN3" s="48"/>
      <c r="AO3" s="48"/>
      <c r="AP3" s="27" t="s">
        <v>61</v>
      </c>
      <c r="AQ3" s="27" t="s">
        <v>60</v>
      </c>
      <c r="AR3" s="48"/>
      <c r="AS3" s="48"/>
      <c r="AT3" s="48"/>
      <c r="AU3" s="48"/>
    </row>
    <row r="4" spans="1:47" x14ac:dyDescent="0.3">
      <c r="A4" t="s">
        <v>1</v>
      </c>
      <c r="B4">
        <v>522</v>
      </c>
      <c r="C4">
        <v>563</v>
      </c>
      <c r="D4" s="49">
        <v>587</v>
      </c>
      <c r="E4" s="49">
        <v>462</v>
      </c>
      <c r="F4" s="49">
        <v>915</v>
      </c>
      <c r="G4" s="49">
        <v>473</v>
      </c>
      <c r="H4">
        <v>854</v>
      </c>
      <c r="I4">
        <v>339</v>
      </c>
      <c r="J4" s="49">
        <v>692</v>
      </c>
      <c r="K4" s="49">
        <v>645</v>
      </c>
      <c r="L4">
        <v>551</v>
      </c>
      <c r="M4">
        <v>561</v>
      </c>
      <c r="N4" s="48">
        <v>418</v>
      </c>
      <c r="O4" s="48">
        <v>654</v>
      </c>
      <c r="P4">
        <v>617</v>
      </c>
      <c r="Q4">
        <v>509</v>
      </c>
      <c r="R4" s="49">
        <v>896</v>
      </c>
      <c r="S4" s="49">
        <v>385</v>
      </c>
      <c r="T4">
        <v>617.65499999999997</v>
      </c>
      <c r="U4">
        <f>959-398.88</f>
        <v>560.12</v>
      </c>
      <c r="V4" s="49">
        <v>1043</v>
      </c>
      <c r="W4" s="49">
        <v>465</v>
      </c>
      <c r="X4" s="49">
        <v>1068</v>
      </c>
      <c r="Y4" s="49">
        <v>196</v>
      </c>
      <c r="Z4">
        <v>671.00099999999998</v>
      </c>
      <c r="AA4">
        <f>959-472.207</f>
        <v>486.79300000000001</v>
      </c>
      <c r="AB4" s="49">
        <v>482</v>
      </c>
      <c r="AC4" s="49">
        <v>591</v>
      </c>
      <c r="AD4">
        <v>566.08000000000004</v>
      </c>
      <c r="AE4">
        <f>959-450.172</f>
        <v>508.82799999999997</v>
      </c>
      <c r="AF4" s="49">
        <v>501</v>
      </c>
      <c r="AG4" s="49">
        <v>676</v>
      </c>
      <c r="AH4">
        <v>868.87199999999996</v>
      </c>
      <c r="AI4">
        <f>959-442.744</f>
        <v>516.25599999999997</v>
      </c>
      <c r="AJ4" s="48">
        <v>961</v>
      </c>
      <c r="AK4" s="48">
        <v>524</v>
      </c>
      <c r="AL4">
        <v>631.38499999999999</v>
      </c>
      <c r="AM4">
        <f>959-540.806</f>
        <v>418.19399999999996</v>
      </c>
      <c r="AN4" s="49">
        <v>697</v>
      </c>
      <c r="AO4" s="49">
        <v>562</v>
      </c>
      <c r="AP4">
        <v>443</v>
      </c>
      <c r="AQ4">
        <v>508</v>
      </c>
      <c r="AR4" s="49">
        <v>481</v>
      </c>
      <c r="AS4" s="49">
        <v>939</v>
      </c>
      <c r="AT4" s="49">
        <v>381</v>
      </c>
      <c r="AU4" s="49">
        <v>691</v>
      </c>
    </row>
    <row r="5" spans="1:47" x14ac:dyDescent="0.3">
      <c r="A5" t="s">
        <v>2</v>
      </c>
      <c r="B5" s="63">
        <v>512</v>
      </c>
      <c r="C5" s="63">
        <v>563</v>
      </c>
      <c r="D5" s="49">
        <v>76</v>
      </c>
      <c r="E5" s="49">
        <v>570</v>
      </c>
      <c r="F5" s="49">
        <v>406</v>
      </c>
      <c r="G5" s="49">
        <v>581</v>
      </c>
      <c r="H5" s="63">
        <v>854</v>
      </c>
      <c r="I5" s="63">
        <v>330</v>
      </c>
      <c r="J5" s="49">
        <v>590</v>
      </c>
      <c r="K5" s="49">
        <v>132</v>
      </c>
      <c r="L5" s="63">
        <v>543</v>
      </c>
      <c r="M5" s="63">
        <v>563</v>
      </c>
      <c r="N5" s="49">
        <v>321</v>
      </c>
      <c r="O5" s="49">
        <v>145</v>
      </c>
      <c r="P5" s="63">
        <v>620</v>
      </c>
      <c r="Q5" s="63">
        <v>516</v>
      </c>
      <c r="R5" s="49">
        <v>449</v>
      </c>
      <c r="S5" s="49">
        <v>572</v>
      </c>
      <c r="T5" s="63">
        <v>646.26</v>
      </c>
      <c r="U5" s="63">
        <f>959-663.549</f>
        <v>295.45100000000002</v>
      </c>
      <c r="V5" s="49">
        <v>589</v>
      </c>
      <c r="W5" s="49">
        <v>663</v>
      </c>
      <c r="X5" s="49">
        <v>628</v>
      </c>
      <c r="Y5" s="49">
        <v>394</v>
      </c>
      <c r="Z5" s="74">
        <v>671.05700000000002</v>
      </c>
      <c r="AA5" s="74">
        <f>959-452.17</f>
        <v>506.83</v>
      </c>
      <c r="AB5" s="49">
        <v>391</v>
      </c>
      <c r="AC5" s="49">
        <v>119</v>
      </c>
      <c r="AD5" s="74">
        <v>545.92499999999995</v>
      </c>
      <c r="AE5" s="74">
        <f>959-450.742</f>
        <v>508.25799999999998</v>
      </c>
      <c r="AF5" s="49">
        <v>409</v>
      </c>
      <c r="AG5" s="49">
        <v>198</v>
      </c>
      <c r="AH5" s="63">
        <v>862.70399999999995</v>
      </c>
      <c r="AI5" s="63">
        <f>959-430.315</f>
        <v>528.68499999999995</v>
      </c>
      <c r="AJ5" s="49">
        <v>460</v>
      </c>
      <c r="AK5" s="49">
        <v>708</v>
      </c>
      <c r="AL5" s="74">
        <v>618.93200000000002</v>
      </c>
      <c r="AM5" s="74">
        <f>959-548.611</f>
        <v>410.38900000000001</v>
      </c>
      <c r="AN5" s="49">
        <v>531</v>
      </c>
      <c r="AO5" s="49">
        <v>27</v>
      </c>
      <c r="AP5" s="63">
        <v>456</v>
      </c>
      <c r="AQ5" s="63">
        <v>488</v>
      </c>
      <c r="AR5" s="49">
        <v>399</v>
      </c>
      <c r="AS5" s="49">
        <v>491</v>
      </c>
      <c r="AT5" s="49">
        <v>306</v>
      </c>
      <c r="AU5" s="49">
        <v>244</v>
      </c>
    </row>
    <row r="6" spans="1:47" x14ac:dyDescent="0.3">
      <c r="A6" t="s">
        <v>4</v>
      </c>
      <c r="B6" s="29">
        <f t="shared" ref="B6:K6" si="0">B5-B4</f>
        <v>-10</v>
      </c>
      <c r="C6" s="74">
        <f t="shared" si="0"/>
        <v>0</v>
      </c>
      <c r="D6" s="63">
        <f t="shared" si="0"/>
        <v>-511</v>
      </c>
      <c r="E6" s="63">
        <f t="shared" si="0"/>
        <v>108</v>
      </c>
      <c r="F6" s="63">
        <f t="shared" si="0"/>
        <v>-509</v>
      </c>
      <c r="G6" s="63">
        <f t="shared" si="0"/>
        <v>108</v>
      </c>
      <c r="H6">
        <f t="shared" si="0"/>
        <v>0</v>
      </c>
      <c r="I6">
        <f t="shared" si="0"/>
        <v>-9</v>
      </c>
      <c r="J6" s="49">
        <f t="shared" si="0"/>
        <v>-102</v>
      </c>
      <c r="K6" s="49">
        <f t="shared" si="0"/>
        <v>-513</v>
      </c>
      <c r="L6" s="29">
        <f t="shared" ref="L6:S6" si="1">L5-L4</f>
        <v>-8</v>
      </c>
      <c r="M6" s="74">
        <f t="shared" si="1"/>
        <v>2</v>
      </c>
      <c r="N6" s="63">
        <f t="shared" si="1"/>
        <v>-97</v>
      </c>
      <c r="O6" s="63">
        <f t="shared" si="1"/>
        <v>-509</v>
      </c>
      <c r="P6" s="29">
        <f t="shared" si="1"/>
        <v>3</v>
      </c>
      <c r="Q6" s="74">
        <f t="shared" si="1"/>
        <v>7</v>
      </c>
      <c r="R6" s="63">
        <f t="shared" si="1"/>
        <v>-447</v>
      </c>
      <c r="S6" s="63">
        <f t="shared" si="1"/>
        <v>187</v>
      </c>
      <c r="T6" s="29">
        <f t="shared" ref="T6:AC6" si="2">T5-T4</f>
        <v>28.605000000000018</v>
      </c>
      <c r="U6" s="74">
        <f t="shared" si="2"/>
        <v>-264.66899999999998</v>
      </c>
      <c r="V6" s="63">
        <f t="shared" si="2"/>
        <v>-454</v>
      </c>
      <c r="W6" s="63">
        <f t="shared" si="2"/>
        <v>198</v>
      </c>
      <c r="X6" s="63">
        <f t="shared" si="2"/>
        <v>-440</v>
      </c>
      <c r="Y6" s="63">
        <f t="shared" si="2"/>
        <v>198</v>
      </c>
      <c r="Z6" s="29">
        <f t="shared" si="2"/>
        <v>5.6000000000040018E-2</v>
      </c>
      <c r="AA6" s="74">
        <f t="shared" si="2"/>
        <v>20.036999999999978</v>
      </c>
      <c r="AB6" s="63">
        <f t="shared" si="2"/>
        <v>-91</v>
      </c>
      <c r="AC6" s="63">
        <f t="shared" si="2"/>
        <v>-472</v>
      </c>
      <c r="AD6" s="29">
        <f>AD5-AD4</f>
        <v>-20.155000000000086</v>
      </c>
      <c r="AE6" s="74">
        <f>AE5-AE4</f>
        <v>-0.56999999999999318</v>
      </c>
      <c r="AF6" s="63">
        <f>AF5-AF4</f>
        <v>-92</v>
      </c>
      <c r="AG6" s="63">
        <f>AG5-AG4</f>
        <v>-478</v>
      </c>
      <c r="AH6" s="29">
        <f t="shared" ref="AH6:AU6" si="3">AH5-AH4</f>
        <v>-6.1680000000000064</v>
      </c>
      <c r="AI6" s="74">
        <f t="shared" si="3"/>
        <v>12.428999999999974</v>
      </c>
      <c r="AJ6" s="63">
        <f t="shared" si="3"/>
        <v>-501</v>
      </c>
      <c r="AK6" s="63">
        <f t="shared" si="3"/>
        <v>184</v>
      </c>
      <c r="AL6" s="29">
        <f t="shared" si="3"/>
        <v>-12.452999999999975</v>
      </c>
      <c r="AM6" s="74">
        <f t="shared" si="3"/>
        <v>-7.80499999999995</v>
      </c>
      <c r="AN6" s="63">
        <f t="shared" si="3"/>
        <v>-166</v>
      </c>
      <c r="AO6" s="63">
        <f t="shared" si="3"/>
        <v>-535</v>
      </c>
      <c r="AP6" s="29">
        <f t="shared" si="3"/>
        <v>13</v>
      </c>
      <c r="AQ6" s="74">
        <f t="shared" si="3"/>
        <v>-20</v>
      </c>
      <c r="AR6" s="63">
        <f t="shared" si="3"/>
        <v>-82</v>
      </c>
      <c r="AS6" s="63">
        <f t="shared" si="3"/>
        <v>-448</v>
      </c>
      <c r="AT6" s="63">
        <f t="shared" si="3"/>
        <v>-75</v>
      </c>
      <c r="AU6" s="63">
        <f t="shared" si="3"/>
        <v>-447</v>
      </c>
    </row>
    <row r="7" spans="1:47" x14ac:dyDescent="0.3">
      <c r="A7" t="s">
        <v>5</v>
      </c>
      <c r="B7" s="29">
        <f t="shared" ref="B7:K7" si="4">B6^2</f>
        <v>100</v>
      </c>
      <c r="C7" s="74">
        <f t="shared" si="4"/>
        <v>0</v>
      </c>
      <c r="D7" s="63">
        <f t="shared" si="4"/>
        <v>261121</v>
      </c>
      <c r="E7" s="63">
        <f t="shared" si="4"/>
        <v>11664</v>
      </c>
      <c r="F7" s="63">
        <f t="shared" si="4"/>
        <v>259081</v>
      </c>
      <c r="G7" s="63">
        <f t="shared" si="4"/>
        <v>11664</v>
      </c>
      <c r="H7">
        <f t="shared" si="4"/>
        <v>0</v>
      </c>
      <c r="I7">
        <f t="shared" si="4"/>
        <v>81</v>
      </c>
      <c r="J7" s="49">
        <f t="shared" si="4"/>
        <v>10404</v>
      </c>
      <c r="K7" s="49">
        <f t="shared" si="4"/>
        <v>263169</v>
      </c>
      <c r="L7" s="29">
        <f t="shared" ref="L7:S7" si="5">L6^2</f>
        <v>64</v>
      </c>
      <c r="M7" s="74">
        <f t="shared" si="5"/>
        <v>4</v>
      </c>
      <c r="N7" s="63">
        <f t="shared" si="5"/>
        <v>9409</v>
      </c>
      <c r="O7" s="63">
        <f t="shared" si="5"/>
        <v>259081</v>
      </c>
      <c r="P7" s="29">
        <f t="shared" si="5"/>
        <v>9</v>
      </c>
      <c r="Q7" s="74">
        <f t="shared" si="5"/>
        <v>49</v>
      </c>
      <c r="R7" s="63">
        <f t="shared" si="5"/>
        <v>199809</v>
      </c>
      <c r="S7" s="63">
        <f t="shared" si="5"/>
        <v>34969</v>
      </c>
      <c r="T7" s="29">
        <f t="shared" ref="T7:AC7" si="6">T6^2</f>
        <v>818.24602500000105</v>
      </c>
      <c r="U7" s="74">
        <f t="shared" si="6"/>
        <v>70049.679560999997</v>
      </c>
      <c r="V7" s="63">
        <f t="shared" si="6"/>
        <v>206116</v>
      </c>
      <c r="W7" s="63">
        <f t="shared" si="6"/>
        <v>39204</v>
      </c>
      <c r="X7" s="63">
        <f t="shared" si="6"/>
        <v>193600</v>
      </c>
      <c r="Y7" s="63">
        <f t="shared" si="6"/>
        <v>39204</v>
      </c>
      <c r="Z7" s="29">
        <f t="shared" si="6"/>
        <v>3.136000000004482E-3</v>
      </c>
      <c r="AA7" s="74">
        <f t="shared" si="6"/>
        <v>401.48136899999912</v>
      </c>
      <c r="AB7" s="63">
        <f t="shared" si="6"/>
        <v>8281</v>
      </c>
      <c r="AC7" s="63">
        <f t="shared" si="6"/>
        <v>222784</v>
      </c>
      <c r="AD7" s="29">
        <f>AD6^2</f>
        <v>406.22402500000351</v>
      </c>
      <c r="AE7" s="74">
        <f>AE6^2</f>
        <v>0.32489999999999225</v>
      </c>
      <c r="AF7" s="63">
        <f>AF6^2</f>
        <v>8464</v>
      </c>
      <c r="AG7" s="63">
        <f>AG6^2</f>
        <v>228484</v>
      </c>
      <c r="AH7" s="29">
        <f t="shared" ref="AH7:AU7" si="7">AH6^2</f>
        <v>38.044224000000078</v>
      </c>
      <c r="AI7" s="74">
        <f t="shared" si="7"/>
        <v>154.48004099999935</v>
      </c>
      <c r="AJ7" s="63">
        <f t="shared" si="7"/>
        <v>251001</v>
      </c>
      <c r="AK7" s="63">
        <f t="shared" si="7"/>
        <v>33856</v>
      </c>
      <c r="AL7" s="29">
        <f t="shared" si="7"/>
        <v>155.07720899999936</v>
      </c>
      <c r="AM7" s="74">
        <f t="shared" si="7"/>
        <v>60.918024999999218</v>
      </c>
      <c r="AN7" s="63">
        <f t="shared" si="7"/>
        <v>27556</v>
      </c>
      <c r="AO7" s="63">
        <f t="shared" si="7"/>
        <v>286225</v>
      </c>
      <c r="AP7" s="29">
        <f t="shared" si="7"/>
        <v>169</v>
      </c>
      <c r="AQ7" s="74">
        <f t="shared" si="7"/>
        <v>400</v>
      </c>
      <c r="AR7" s="63">
        <f t="shared" si="7"/>
        <v>6724</v>
      </c>
      <c r="AS7" s="63">
        <f t="shared" si="7"/>
        <v>200704</v>
      </c>
      <c r="AT7" s="63">
        <f t="shared" si="7"/>
        <v>5625</v>
      </c>
      <c r="AU7" s="63">
        <f t="shared" si="7"/>
        <v>199809</v>
      </c>
    </row>
    <row r="8" spans="1:47" x14ac:dyDescent="0.3">
      <c r="A8" t="s">
        <v>6</v>
      </c>
      <c r="B8" s="29"/>
      <c r="C8" s="74">
        <f>SQRT(SUM(B7:C7))</f>
        <v>10</v>
      </c>
      <c r="D8" s="63"/>
      <c r="E8" s="63">
        <f>SQRT(SUM(D7:E7))</f>
        <v>522.28823459848297</v>
      </c>
      <c r="F8" s="63"/>
      <c r="G8" s="63">
        <f>SQRT(SUM(F7:G7))</f>
        <v>520.33162502388802</v>
      </c>
      <c r="I8">
        <f>SQRT(SUM(H7:I7))</f>
        <v>9</v>
      </c>
      <c r="K8" s="49">
        <f>SQRT(SUM(J7:K7))</f>
        <v>523.0420633180471</v>
      </c>
      <c r="L8" s="29"/>
      <c r="M8" s="74">
        <f>SQRT(SUM(L7:M7))</f>
        <v>8.2462112512353212</v>
      </c>
      <c r="N8" s="63"/>
      <c r="O8" s="63">
        <f>SQRT(SUM(N7:O7))</f>
        <v>518.16020688586264</v>
      </c>
      <c r="P8" s="29"/>
      <c r="Q8" s="74">
        <f>SQRT(SUM(P7:Q7))</f>
        <v>7.6157731058639087</v>
      </c>
      <c r="R8" s="63"/>
      <c r="S8" s="63">
        <f>SQRT(SUM(R7:S7))</f>
        <v>484.53895612220902</v>
      </c>
      <c r="T8" s="29"/>
      <c r="U8" s="74">
        <f>SQRT(SUM(T7:U7))</f>
        <v>266.21030330548814</v>
      </c>
      <c r="V8" s="63"/>
      <c r="W8" s="63">
        <f>SQRT(SUM(V7:W7))</f>
        <v>495.29789016308155</v>
      </c>
      <c r="X8" s="63"/>
      <c r="Y8" s="63">
        <f>SQRT(SUM(X7:Y7))</f>
        <v>482.49766838814878</v>
      </c>
      <c r="Z8" s="29"/>
      <c r="AA8" s="74">
        <f>SQRT(SUM(Z7:AA7))</f>
        <v>20.037078255074992</v>
      </c>
      <c r="AB8" s="63"/>
      <c r="AC8" s="63">
        <f>SQRT(SUM(AB7:AC7))</f>
        <v>480.69220921500278</v>
      </c>
      <c r="AD8" s="29"/>
      <c r="AE8" s="74">
        <f>SQRT(SUM(AD7:AE7))</f>
        <v>20.1630584237611</v>
      </c>
      <c r="AF8" s="63"/>
      <c r="AG8" s="63">
        <f>SQRT(SUM(AF7:AG7))</f>
        <v>486.77304773374624</v>
      </c>
      <c r="AH8" s="29"/>
      <c r="AI8" s="74">
        <f>SQRT(SUM(AH7:AI7))</f>
        <v>13.875311347858087</v>
      </c>
      <c r="AJ8" s="63"/>
      <c r="AK8" s="63">
        <f>SQRT(SUM(AJ7:AK7))</f>
        <v>533.71996402607988</v>
      </c>
      <c r="AL8" s="29"/>
      <c r="AM8" s="74">
        <f>SQRT(SUM(AL7:AM7))</f>
        <v>14.696776313191902</v>
      </c>
      <c r="AN8" s="63"/>
      <c r="AO8" s="63">
        <f>SQRT(SUM(AN7:AO7))</f>
        <v>560.16158383095137</v>
      </c>
      <c r="AP8" s="29"/>
      <c r="AQ8" s="74">
        <f>SQRT(SUM(AP7:AQ7))</f>
        <v>23.853720883753127</v>
      </c>
      <c r="AR8" s="63"/>
      <c r="AS8" s="63">
        <f>SQRT(SUM(AR7:AS7))</f>
        <v>455.44264183319507</v>
      </c>
      <c r="AT8" s="63"/>
      <c r="AU8" s="63">
        <f>SQRT(SUM(AT7:AU7))</f>
        <v>453.24827633428458</v>
      </c>
    </row>
    <row r="9" spans="1:47" x14ac:dyDescent="0.3">
      <c r="A9" t="s">
        <v>7</v>
      </c>
      <c r="B9" s="29"/>
      <c r="C9" s="74">
        <f>MOD(ATAN2(C6,B6)*180/PI()+270,360)</f>
        <v>180</v>
      </c>
      <c r="D9" s="63"/>
      <c r="E9" s="63">
        <f>MOD(ATAN2(E6,D6)*180/PI()+270,360)</f>
        <v>191.93385734354476</v>
      </c>
      <c r="F9" s="63"/>
      <c r="G9" s="63">
        <f>MOD(ATAN2(G6,F6)*180/PI()+270,360)</f>
        <v>191.97939660300534</v>
      </c>
      <c r="I9">
        <f>MOD(ATAN2(I6,H6)*180/PI()+270,360)</f>
        <v>90</v>
      </c>
      <c r="K9" s="49">
        <f>MOD(ATAN2(K6,J6)*180/PI()+270,360)</f>
        <v>101.24548280546287</v>
      </c>
      <c r="L9" s="29"/>
      <c r="M9" s="74">
        <f>MOD(ATAN2(M6,L6)*180/PI()+270,360)</f>
        <v>194.03624346792645</v>
      </c>
      <c r="N9" s="63"/>
      <c r="O9" s="63">
        <f>MOD(ATAN2(O6,N6)*180/PI()+270,360)</f>
        <v>100.78947036727891</v>
      </c>
      <c r="P9" s="29"/>
      <c r="Q9" s="74">
        <f>MOD(ATAN2(Q6,P6)*180/PI()+270,360)</f>
        <v>293.19859051364818</v>
      </c>
      <c r="R9" s="63"/>
      <c r="S9" s="63">
        <f>MOD(ATAN2(S6,R6)*180/PI()+270,360)</f>
        <v>202.7017290002259</v>
      </c>
      <c r="T9" s="29"/>
      <c r="U9" s="74">
        <f>MOD(ATAN2(U6,T6)*180/PI()+270,360)</f>
        <v>83.831507834281638</v>
      </c>
      <c r="V9" s="63"/>
      <c r="W9" s="63">
        <f>MOD(ATAN2(W6,V6)*180/PI()+270,360)</f>
        <v>203.56313986477483</v>
      </c>
      <c r="X9" s="63"/>
      <c r="Y9" s="63">
        <f>MOD(ATAN2(Y6,X6)*180/PI()+270,360)</f>
        <v>204.22774531795417</v>
      </c>
      <c r="Z9" s="29"/>
      <c r="AA9" s="74">
        <f>MOD(ATAN2(AA6,Z6)*180/PI()+270,360)</f>
        <v>270.16013152161833</v>
      </c>
      <c r="AB9" s="63"/>
      <c r="AC9" s="63">
        <f>MOD(ATAN2(AC6,AB6)*180/PI()+270,360)</f>
        <v>100.91253849895904</v>
      </c>
      <c r="AD9" s="29"/>
      <c r="AE9" s="74">
        <f>MOD(ATAN2(AE6,AD6)*180/PI()+270,360)</f>
        <v>178.38005995222898</v>
      </c>
      <c r="AF9" s="63"/>
      <c r="AG9" s="63">
        <f>MOD(ATAN2(AG6,AF6)*180/PI()+270,360)</f>
        <v>100.89441839219029</v>
      </c>
      <c r="AH9" s="29"/>
      <c r="AI9" s="74">
        <f>MOD(ATAN2(AI6,AH6)*180/PI()+270,360)</f>
        <v>243.60669160433304</v>
      </c>
      <c r="AJ9" s="63"/>
      <c r="AK9" s="63">
        <f>MOD(ATAN2(AK6,AJ6)*180/PI()+270,360)</f>
        <v>200.16654043820159</v>
      </c>
      <c r="AL9" s="29"/>
      <c r="AM9" s="74">
        <f>MOD(ATAN2(AM6,AL6)*180/PI()+270,360)</f>
        <v>147.92229924119317</v>
      </c>
      <c r="AN9" s="63"/>
      <c r="AO9" s="63">
        <f>MOD(ATAN2(AO6,AN6)*180/PI()+270,360)</f>
        <v>107.23809084232602</v>
      </c>
      <c r="AP9" s="29"/>
      <c r="AQ9" s="74">
        <f>MOD(ATAN2(AQ6,AP6)*180/PI()+270,360)</f>
        <v>56.976132444203358</v>
      </c>
      <c r="AR9" s="63"/>
      <c r="AS9" s="63">
        <f>MOD(ATAN2(AS6,AR6)*180/PI()+270,360)</f>
        <v>100.37235913922473</v>
      </c>
      <c r="AT9" s="63"/>
      <c r="AU9" s="63">
        <f>MOD(ATAN2(AU6,AT6)*180/PI()+270,360)</f>
        <v>99.524667971790024</v>
      </c>
    </row>
    <row r="10" spans="1:47" s="17" customFormat="1" ht="117" customHeight="1" x14ac:dyDescent="0.3">
      <c r="A10" s="16" t="s">
        <v>40</v>
      </c>
      <c r="B10" s="406" t="s">
        <v>153</v>
      </c>
      <c r="C10" s="406"/>
      <c r="D10" s="395"/>
      <c r="E10" s="395"/>
      <c r="F10" s="395"/>
      <c r="G10" s="395"/>
      <c r="H10" s="406" t="s">
        <v>152</v>
      </c>
      <c r="I10" s="406"/>
      <c r="J10" s="395"/>
      <c r="K10" s="395"/>
      <c r="L10" s="406"/>
      <c r="M10" s="406"/>
      <c r="N10" s="395"/>
      <c r="O10" s="395"/>
      <c r="P10" s="406"/>
      <c r="Q10" s="406"/>
      <c r="R10" s="395"/>
      <c r="S10" s="395"/>
      <c r="T10" s="406" t="s">
        <v>169</v>
      </c>
      <c r="U10" s="406"/>
      <c r="V10" s="395"/>
      <c r="W10" s="395"/>
      <c r="X10" s="395"/>
      <c r="Y10" s="395"/>
      <c r="Z10" s="406" t="s">
        <v>169</v>
      </c>
      <c r="AA10" s="406"/>
      <c r="AB10" s="395"/>
      <c r="AC10" s="395"/>
      <c r="AD10" s="406" t="s">
        <v>169</v>
      </c>
      <c r="AE10" s="406"/>
      <c r="AF10" s="395"/>
      <c r="AG10" s="395"/>
      <c r="AH10" s="406" t="s">
        <v>169</v>
      </c>
      <c r="AI10" s="406"/>
      <c r="AJ10" s="395"/>
      <c r="AK10" s="395"/>
      <c r="AL10" s="406" t="s">
        <v>169</v>
      </c>
      <c r="AM10" s="406"/>
      <c r="AN10" s="395"/>
      <c r="AO10" s="395"/>
      <c r="AP10" s="406" t="s">
        <v>173</v>
      </c>
      <c r="AQ10" s="406"/>
      <c r="AR10" s="395"/>
      <c r="AS10" s="395"/>
      <c r="AT10" s="395"/>
      <c r="AU10" s="395"/>
    </row>
    <row r="11" spans="1:47" s="19" customFormat="1" x14ac:dyDescent="0.3">
      <c r="A11" s="20" t="s">
        <v>37</v>
      </c>
      <c r="B11" s="20"/>
      <c r="C11" s="20"/>
      <c r="D11" s="47"/>
      <c r="E11" s="47"/>
      <c r="F11" s="47"/>
      <c r="G11" s="47"/>
      <c r="H11" s="20"/>
      <c r="I11" s="20"/>
      <c r="J11" s="47"/>
      <c r="K11" s="47"/>
      <c r="L11" s="20"/>
      <c r="M11" s="20"/>
      <c r="N11" s="47"/>
      <c r="O11" s="47"/>
      <c r="P11" s="20"/>
      <c r="Q11" s="20"/>
      <c r="R11" s="47"/>
      <c r="S11" s="47"/>
      <c r="T11" s="20"/>
      <c r="U11" s="20"/>
      <c r="V11" s="47"/>
      <c r="W11" s="47"/>
      <c r="X11" s="47"/>
      <c r="Y11" s="47"/>
      <c r="Z11" s="20"/>
      <c r="AA11" s="20"/>
      <c r="AB11" s="47"/>
      <c r="AC11" s="47"/>
      <c r="AD11" s="20"/>
      <c r="AE11" s="20"/>
      <c r="AF11" s="47"/>
      <c r="AG11" s="47"/>
      <c r="AH11" s="20"/>
      <c r="AI11" s="20"/>
      <c r="AJ11" s="47"/>
      <c r="AK11" s="47"/>
      <c r="AL11" s="20"/>
      <c r="AM11" s="20"/>
      <c r="AN11" s="47"/>
      <c r="AO11" s="47"/>
      <c r="AP11" s="20"/>
      <c r="AQ11" s="20"/>
      <c r="AR11" s="47"/>
      <c r="AS11" s="47"/>
      <c r="AT11" s="47"/>
      <c r="AU11" s="47"/>
    </row>
    <row r="12" spans="1:47" s="1" customFormat="1" x14ac:dyDescent="0.3">
      <c r="B12" s="1" t="s">
        <v>62</v>
      </c>
      <c r="C12" s="1" t="s">
        <v>63</v>
      </c>
      <c r="D12" s="50"/>
      <c r="E12" s="50"/>
      <c r="F12" s="50"/>
      <c r="G12" s="50"/>
      <c r="H12" s="1" t="s">
        <v>62</v>
      </c>
      <c r="I12" s="1" t="s">
        <v>63</v>
      </c>
      <c r="J12" s="50"/>
      <c r="K12" s="50"/>
      <c r="L12" s="1" t="s">
        <v>62</v>
      </c>
      <c r="M12" s="1" t="s">
        <v>63</v>
      </c>
      <c r="N12" s="50"/>
      <c r="O12" s="50"/>
      <c r="P12" s="1" t="s">
        <v>62</v>
      </c>
      <c r="Q12" s="1" t="s">
        <v>63</v>
      </c>
      <c r="R12" s="50"/>
      <c r="S12" s="50"/>
      <c r="T12" s="1" t="s">
        <v>62</v>
      </c>
      <c r="U12" s="1" t="s">
        <v>63</v>
      </c>
      <c r="V12" s="50"/>
      <c r="W12" s="50"/>
      <c r="X12" s="50"/>
      <c r="Y12" s="50"/>
      <c r="Z12" s="1" t="s">
        <v>62</v>
      </c>
      <c r="AA12" s="1" t="s">
        <v>63</v>
      </c>
      <c r="AB12" s="50"/>
      <c r="AC12" s="50"/>
      <c r="AD12" s="1" t="s">
        <v>62</v>
      </c>
      <c r="AE12" s="1" t="s">
        <v>63</v>
      </c>
      <c r="AF12" s="50"/>
      <c r="AG12" s="50"/>
      <c r="AH12" s="1" t="s">
        <v>62</v>
      </c>
      <c r="AI12" s="1" t="s">
        <v>63</v>
      </c>
      <c r="AJ12" s="50"/>
      <c r="AK12" s="50"/>
      <c r="AL12" s="1" t="s">
        <v>62</v>
      </c>
      <c r="AM12" s="1" t="s">
        <v>63</v>
      </c>
      <c r="AN12" s="50"/>
      <c r="AO12" s="50"/>
      <c r="AP12" s="1" t="s">
        <v>62</v>
      </c>
      <c r="AQ12" s="1" t="s">
        <v>63</v>
      </c>
      <c r="AR12" s="50"/>
      <c r="AS12" s="50"/>
      <c r="AT12" s="50"/>
      <c r="AU12" s="50"/>
    </row>
    <row r="13" spans="1:47" x14ac:dyDescent="0.3">
      <c r="A13" t="s">
        <v>18</v>
      </c>
    </row>
    <row r="14" spans="1:47" x14ac:dyDescent="0.3">
      <c r="A14" t="s">
        <v>17</v>
      </c>
    </row>
    <row r="15" spans="1:47" x14ac:dyDescent="0.3">
      <c r="A15" t="s">
        <v>14</v>
      </c>
    </row>
    <row r="16" spans="1:47" x14ac:dyDescent="0.3">
      <c r="A16" t="s">
        <v>13</v>
      </c>
      <c r="C16">
        <v>0.99199999999999999</v>
      </c>
      <c r="E16" s="53">
        <f>5*15.0412*COS((32+54/60+5/3600)*PI()/180)</f>
        <v>63.143461282220322</v>
      </c>
      <c r="G16" s="53">
        <f>5*15.0412*COS((32+54/60+5/3600)*PI()/180)</f>
        <v>63.143461282220322</v>
      </c>
      <c r="I16">
        <v>0.99199999999999999</v>
      </c>
      <c r="K16" s="53">
        <f>5*15.0412*COS((32+54/60+5/3600)*PI()/180)</f>
        <v>63.143461282220322</v>
      </c>
      <c r="L16" s="41"/>
      <c r="M16">
        <v>0.90600000000000003</v>
      </c>
      <c r="O16" s="53">
        <f>5*15.0412*COS((36+29/60+27/3600)*PI()/180)</f>
        <v>60.462015250853639</v>
      </c>
      <c r="P16" s="41"/>
      <c r="Q16">
        <v>0.90600000000000003</v>
      </c>
      <c r="S16" s="53">
        <f>5*15.0412*COS((36+29/60+27/3600)*PI()/180)</f>
        <v>60.462015250853639</v>
      </c>
      <c r="T16" s="41"/>
      <c r="U16">
        <v>31.181999999999999</v>
      </c>
      <c r="W16" s="53">
        <f>5*15.0412*COS((38+45/60+0/3600)*PI()/180)</f>
        <v>58.651992435483272</v>
      </c>
      <c r="Y16" s="53">
        <f>5*15.0412*COS((38+45/60+0/3600)*PI()/180)</f>
        <v>58.651992435483272</v>
      </c>
      <c r="Z16" s="41"/>
      <c r="AA16">
        <v>2.3650000000000002</v>
      </c>
      <c r="AC16" s="53">
        <f>5*15.0412*COS((39+38/60+30/3600)*PI()/180)</f>
        <v>57.912342040261052</v>
      </c>
      <c r="AD16" s="41"/>
      <c r="AE16">
        <v>2.3519999999999999</v>
      </c>
      <c r="AG16" s="53">
        <f>5*15.0412*COS((39+38/60+30/3600)*PI()/180)</f>
        <v>57.912342040261052</v>
      </c>
      <c r="AH16" s="41"/>
      <c r="AI16">
        <v>1.77</v>
      </c>
      <c r="AK16" s="53">
        <f>5*15.0412*COS((28+44/60+34/3600)*PI()/180)</f>
        <v>65.939671559303207</v>
      </c>
      <c r="AL16" s="41"/>
      <c r="AM16">
        <v>1.77</v>
      </c>
      <c r="AO16" s="53">
        <f>5*15.0412*COS((28+44/60+34/3600)*PI()/180)</f>
        <v>65.939671559303207</v>
      </c>
      <c r="AQ16">
        <v>2.669</v>
      </c>
      <c r="AS16" s="53">
        <f>5*15.0412*COS((45+7/60+50/3600)*PI()/180)</f>
        <v>53.057360419917039</v>
      </c>
      <c r="AU16" s="53">
        <f>5*15.0412*COS((45+7/60+50/3600)*PI()/180)</f>
        <v>53.057360419917039</v>
      </c>
    </row>
    <row r="17" spans="1:47" x14ac:dyDescent="0.3">
      <c r="A17" t="s">
        <v>7</v>
      </c>
      <c r="C17">
        <v>261.44</v>
      </c>
      <c r="E17" s="49">
        <v>-90</v>
      </c>
      <c r="G17" s="49">
        <v>-90</v>
      </c>
      <c r="I17">
        <v>261.44</v>
      </c>
      <c r="K17" s="49">
        <v>-90</v>
      </c>
      <c r="M17">
        <v>2.75</v>
      </c>
      <c r="O17" s="49">
        <v>-90</v>
      </c>
      <c r="Q17">
        <v>2.75</v>
      </c>
      <c r="S17" s="49">
        <v>-90</v>
      </c>
      <c r="U17">
        <v>150.79</v>
      </c>
      <c r="W17" s="49">
        <v>-90</v>
      </c>
      <c r="Y17" s="49">
        <v>-90</v>
      </c>
      <c r="AA17">
        <v>78.760000000000005</v>
      </c>
      <c r="AC17" s="49">
        <v>-90</v>
      </c>
      <c r="AE17">
        <v>348</v>
      </c>
      <c r="AG17" s="49">
        <v>-90</v>
      </c>
      <c r="AI17">
        <v>311.58</v>
      </c>
      <c r="AK17" s="49">
        <v>-90</v>
      </c>
      <c r="AM17">
        <v>311.58</v>
      </c>
      <c r="AO17" s="49">
        <v>-90</v>
      </c>
      <c r="AQ17">
        <v>220.52</v>
      </c>
      <c r="AS17" s="49">
        <v>-90</v>
      </c>
      <c r="AU17" s="49">
        <v>-90</v>
      </c>
    </row>
    <row r="18" spans="1:47" x14ac:dyDescent="0.3">
      <c r="A18" t="s">
        <v>32</v>
      </c>
      <c r="B18" s="9">
        <f>-C16*SIN((C17)/180*PI())</f>
        <v>0.98094965116466304</v>
      </c>
      <c r="C18" s="9">
        <f>C16*COS((C17)/180*PI())</f>
        <v>-0.14765426468587323</v>
      </c>
      <c r="D18" s="9">
        <f>-E16*SIN((E17)/180*PI())</f>
        <v>63.143461282220322</v>
      </c>
      <c r="E18" s="9">
        <f>E16*COS((E17)/180*PI())</f>
        <v>3.8680057013747245E-15</v>
      </c>
      <c r="F18" s="9">
        <f>-G16*SIN((G17)/180*PI())</f>
        <v>63.143461282220322</v>
      </c>
      <c r="G18" s="9">
        <f>G16*COS((G17)/180*PI())</f>
        <v>3.8680057013747245E-15</v>
      </c>
      <c r="H18" s="9">
        <f>-I16*SIN((I17)/180*PI())</f>
        <v>0.98094965116466304</v>
      </c>
      <c r="I18" s="9">
        <f>I16*COS((I17)/180*PI())</f>
        <v>-0.14765426468587323</v>
      </c>
      <c r="J18" s="9">
        <f>-K16*SIN((K17)/180*PI())</f>
        <v>63.143461282220322</v>
      </c>
      <c r="K18" s="9">
        <f>K16*COS((K17)/180*PI())</f>
        <v>3.8680057013747245E-15</v>
      </c>
      <c r="L18" s="9">
        <f>-M16*SIN((M17)/180*PI())</f>
        <v>-4.3468184440337614E-2</v>
      </c>
      <c r="M18" s="9">
        <f>M16*COS((M17)/180*PI())</f>
        <v>0.90495663815536531</v>
      </c>
      <c r="N18" s="9">
        <f>-O16*SIN((O17)/180*PI())</f>
        <v>60.462015250853639</v>
      </c>
      <c r="O18" s="9">
        <f>O16*COS((O17)/180*PI())</f>
        <v>3.703747228262238E-15</v>
      </c>
      <c r="P18" s="9">
        <f>-Q16*SIN((Q17)/180*PI())</f>
        <v>-4.3468184440337614E-2</v>
      </c>
      <c r="Q18" s="9">
        <f>Q16*COS((Q17)/180*PI())</f>
        <v>0.90495663815536531</v>
      </c>
      <c r="R18" s="9">
        <f>-S16*SIN((S17)/180*PI())</f>
        <v>60.462015250853639</v>
      </c>
      <c r="S18" s="9">
        <f>S16*COS((S17)/180*PI())</f>
        <v>3.703747228262238E-15</v>
      </c>
      <c r="T18" s="9">
        <f>-U16*SIN((U17)/180*PI())</f>
        <v>-15.217190350856411</v>
      </c>
      <c r="U18" s="9">
        <f>U16*COS((U17)/180*PI())</f>
        <v>-27.216800727231011</v>
      </c>
      <c r="V18" s="9">
        <f>-W16*SIN((W17)/180*PI())</f>
        <v>58.651992435483272</v>
      </c>
      <c r="W18" s="9">
        <f>W16*COS((W17)/180*PI())</f>
        <v>3.59286989548222E-15</v>
      </c>
      <c r="X18" s="9">
        <f>-Y16*SIN((Y17)/180*PI())</f>
        <v>58.651992435483272</v>
      </c>
      <c r="Y18" s="9">
        <f>Y16*COS((Y17)/180*PI())</f>
        <v>3.59286989548222E-15</v>
      </c>
      <c r="Z18" s="9">
        <f>-AA16*SIN((AA17)/180*PI())</f>
        <v>-2.3196376803283858</v>
      </c>
      <c r="AA18" s="9">
        <f>AA16*COS((AA17)/180*PI())</f>
        <v>0.46098376544163266</v>
      </c>
      <c r="AB18" s="9">
        <f>-AC16*SIN((AC17)/180*PI())</f>
        <v>57.912342040261052</v>
      </c>
      <c r="AC18" s="9">
        <f>AC16*COS((AC17)/180*PI())</f>
        <v>3.5475608185382674E-15</v>
      </c>
      <c r="AD18" s="9">
        <f>-AE16*SIN((AE17)/180*PI())</f>
        <v>0.48900829680337121</v>
      </c>
      <c r="AE18" s="9">
        <f>AE16*COS((AE17)/180*PI())</f>
        <v>2.3006031569259107</v>
      </c>
      <c r="AF18" s="9">
        <f>-AG16*SIN((AG17)/180*PI())</f>
        <v>57.912342040261052</v>
      </c>
      <c r="AG18" s="9">
        <f>AG16*COS((AG17)/180*PI())</f>
        <v>3.5475608185382674E-15</v>
      </c>
      <c r="AH18" s="9">
        <f>-AI16*SIN((AI17)/180*PI())</f>
        <v>1.3240127440589882</v>
      </c>
      <c r="AI18" s="9">
        <f>AI16*COS((AI17)/180*PI())</f>
        <v>1.1746873003354503</v>
      </c>
      <c r="AJ18" s="9">
        <f>-AK16*SIN((AK17)/180*PI())</f>
        <v>65.939671559303207</v>
      </c>
      <c r="AK18" s="9">
        <f>AK16*COS((AK17)/180*PI())</f>
        <v>4.03929433640311E-15</v>
      </c>
      <c r="AL18" s="9">
        <f>-AM16*SIN((AM17)/180*PI())</f>
        <v>1.3240127440589882</v>
      </c>
      <c r="AM18" s="9">
        <f>AM16*COS((AM17)/180*PI())</f>
        <v>1.1746873003354503</v>
      </c>
      <c r="AN18" s="9">
        <f>-AO16*SIN((AO17)/180*PI())</f>
        <v>65.939671559303207</v>
      </c>
      <c r="AO18" s="9">
        <f>AO16*COS((AO17)/180*PI())</f>
        <v>4.03929433640311E-15</v>
      </c>
      <c r="AP18" s="9">
        <f>-AQ16*SIN((AQ17)/180*PI())</f>
        <v>1.7340851727296953</v>
      </c>
      <c r="AQ18" s="9">
        <f>AQ16*COS((AQ17)/180*PI())</f>
        <v>-2.0289183358920639</v>
      </c>
      <c r="AR18" s="9">
        <f>-AS16*SIN((AS17)/180*PI())</f>
        <v>53.057360419917039</v>
      </c>
      <c r="AS18" s="9">
        <f>AS16*COS((AS17)/180*PI())</f>
        <v>3.2501571569995566E-15</v>
      </c>
      <c r="AT18" s="9">
        <f>-AU16*SIN((AU17)/180*PI())</f>
        <v>53.057360419917039</v>
      </c>
      <c r="AU18" s="9">
        <f>AU16*COS((AU17)/180*PI())</f>
        <v>3.2501571569995566E-15</v>
      </c>
    </row>
    <row r="19" spans="1:47" s="14" customFormat="1" ht="69" customHeight="1" x14ac:dyDescent="0.3">
      <c r="A19" s="15" t="s">
        <v>40</v>
      </c>
      <c r="B19" s="389"/>
      <c r="C19" s="389"/>
      <c r="D19" s="51"/>
      <c r="E19" s="51"/>
      <c r="F19" s="51"/>
      <c r="G19" s="51"/>
      <c r="H19" s="389"/>
      <c r="I19" s="389"/>
      <c r="J19" s="51"/>
      <c r="K19" s="51"/>
      <c r="L19" s="389"/>
      <c r="M19" s="389"/>
      <c r="N19" s="51"/>
      <c r="O19" s="51"/>
      <c r="P19" s="389"/>
      <c r="Q19" s="389"/>
      <c r="R19" s="51"/>
      <c r="S19" s="51"/>
      <c r="T19" s="389"/>
      <c r="U19" s="389"/>
      <c r="V19" s="51"/>
      <c r="W19" s="51"/>
      <c r="X19" s="51"/>
      <c r="Y19" s="51"/>
      <c r="Z19" s="389"/>
      <c r="AA19" s="389"/>
      <c r="AB19" s="51"/>
      <c r="AC19" s="51"/>
      <c r="AD19" s="389"/>
      <c r="AE19" s="389"/>
      <c r="AF19" s="51"/>
      <c r="AG19" s="51"/>
      <c r="AH19" s="389" t="s">
        <v>168</v>
      </c>
      <c r="AI19" s="389"/>
      <c r="AJ19" s="51"/>
      <c r="AK19" s="51"/>
      <c r="AL19" s="389" t="s">
        <v>168</v>
      </c>
      <c r="AM19" s="389"/>
      <c r="AN19" s="51"/>
      <c r="AO19" s="51"/>
      <c r="AP19" s="389"/>
      <c r="AQ19" s="389"/>
      <c r="AR19" s="51"/>
      <c r="AS19" s="51"/>
      <c r="AT19" s="51"/>
      <c r="AU19" s="51"/>
    </row>
    <row r="20" spans="1:47" s="19" customFormat="1" x14ac:dyDescent="0.3">
      <c r="A20" s="18" t="s">
        <v>38</v>
      </c>
      <c r="D20" s="47"/>
      <c r="E20" s="47"/>
      <c r="F20" s="47"/>
      <c r="G20" s="47"/>
      <c r="J20" s="47"/>
      <c r="K20" s="47"/>
      <c r="N20" s="47"/>
      <c r="O20" s="47"/>
      <c r="R20" s="47"/>
      <c r="S20" s="47"/>
      <c r="V20" s="47"/>
      <c r="W20" s="47"/>
      <c r="X20" s="47"/>
      <c r="Y20" s="47"/>
      <c r="AB20" s="47"/>
      <c r="AC20" s="47"/>
      <c r="AF20" s="47"/>
      <c r="AG20" s="47"/>
      <c r="AJ20" s="47"/>
      <c r="AK20" s="47"/>
      <c r="AN20" s="47"/>
      <c r="AO20" s="47"/>
      <c r="AR20" s="47"/>
      <c r="AS20" s="47"/>
      <c r="AT20" s="47"/>
      <c r="AU20" s="47"/>
    </row>
    <row r="21" spans="1:47" x14ac:dyDescent="0.3">
      <c r="A21" s="7" t="s">
        <v>65</v>
      </c>
      <c r="C21">
        <f>C16/C8</f>
        <v>9.9199999999999997E-2</v>
      </c>
      <c r="E21">
        <f>E16/E8</f>
        <v>0.12089772868569942</v>
      </c>
      <c r="G21">
        <f>G16/G8</f>
        <v>0.12135234194024139</v>
      </c>
      <c r="I21">
        <f>I16/I8</f>
        <v>0.11022222222222222</v>
      </c>
      <c r="K21">
        <f>K16/K8</f>
        <v>0.12072348614116063</v>
      </c>
      <c r="M21">
        <f>M16/M8</f>
        <v>0.10986863814145884</v>
      </c>
      <c r="O21">
        <f>O16/O8</f>
        <v>0.11668594856835825</v>
      </c>
      <c r="Q21">
        <f>Q16/Q8</f>
        <v>0.11896362817090864</v>
      </c>
      <c r="S21">
        <f>S16/S8</f>
        <v>0.124782568020401</v>
      </c>
      <c r="U21">
        <f>U16/U8</f>
        <v>0.11713295696229034</v>
      </c>
      <c r="W21">
        <f>W16/W8</f>
        <v>0.11841761008949896</v>
      </c>
      <c r="Y21">
        <f>Y16/Y8</f>
        <v>0.12155912096201105</v>
      </c>
      <c r="AA21">
        <f>AA16/AA8</f>
        <v>0.11803118048915105</v>
      </c>
      <c r="AC21">
        <f>AC16/AC8</f>
        <v>0.12047697243696781</v>
      </c>
      <c r="AE21">
        <f>AE16/AE8</f>
        <v>0.11664897013978257</v>
      </c>
      <c r="AG21">
        <f>AG16/AG8</f>
        <v>0.118971956869596</v>
      </c>
      <c r="AI21">
        <f>AI16/AI8</f>
        <v>0.12756470508124723</v>
      </c>
      <c r="AK21">
        <f>AK16/AK8</f>
        <v>0.12354732069958903</v>
      </c>
      <c r="AM21">
        <f>AM16/AM8</f>
        <v>0.12043457437745983</v>
      </c>
      <c r="AO21">
        <f>AO16/AO8</f>
        <v>0.11771544758271542</v>
      </c>
      <c r="AQ21">
        <f>AQ16/AQ8</f>
        <v>0.11189030059532001</v>
      </c>
      <c r="AS21">
        <f>AS16/AS8</f>
        <v>0.11649625122135399</v>
      </c>
      <c r="AU21">
        <f>AU16/AU8</f>
        <v>0.11706025856077519</v>
      </c>
    </row>
    <row r="22" spans="1:47" x14ac:dyDescent="0.3">
      <c r="A22" t="s">
        <v>34</v>
      </c>
      <c r="B22">
        <f>STDEV(B21:AO21)</f>
        <v>6.0958008794750052E-3</v>
      </c>
      <c r="C22">
        <f>AVERAGE(B21:AO21)</f>
        <v>0.11815986887903798</v>
      </c>
      <c r="AP22">
        <f>STDEV(AP21:CC21)</f>
        <v>2.8361167939325404E-3</v>
      </c>
      <c r="AQ22">
        <f>AVERAGE(AP21:CC21)</f>
        <v>0.11514893679248306</v>
      </c>
    </row>
    <row r="23" spans="1:47" x14ac:dyDescent="0.3">
      <c r="A23" t="s">
        <v>35</v>
      </c>
      <c r="C23">
        <f>C21-$C22</f>
        <v>-1.8959868879037986E-2</v>
      </c>
      <c r="E23">
        <f>E21-$C22</f>
        <v>2.7378598066614412E-3</v>
      </c>
      <c r="G23">
        <f>G21-$C22</f>
        <v>3.1924730612034047E-3</v>
      </c>
      <c r="I23">
        <f>I21-$C22</f>
        <v>-7.9376466568157611E-3</v>
      </c>
      <c r="K23">
        <f>K21-$C22</f>
        <v>2.5636172621226472E-3</v>
      </c>
      <c r="M23">
        <f>M21-$C22</f>
        <v>-8.2912307375791472E-3</v>
      </c>
      <c r="O23">
        <f>O21-$C22</f>
        <v>-1.4739203106797355E-3</v>
      </c>
      <c r="Q23">
        <f>Q21-$C22</f>
        <v>8.0375929187065376E-4</v>
      </c>
      <c r="S23">
        <f>S21-$C22</f>
        <v>6.6226991413630143E-3</v>
      </c>
      <c r="U23">
        <f>U21-$C22</f>
        <v>-1.0269119167476415E-3</v>
      </c>
      <c r="W23">
        <f>W21-$C22</f>
        <v>2.5774121046097387E-4</v>
      </c>
      <c r="Y23">
        <f>Y21-$C22</f>
        <v>3.3992520829730644E-3</v>
      </c>
      <c r="AA23">
        <f>AA21-$C22</f>
        <v>-1.286883898869301E-4</v>
      </c>
      <c r="AC23">
        <f>AC21-$C22</f>
        <v>2.3171035579298283E-3</v>
      </c>
      <c r="AE23">
        <f>AE21-$C22</f>
        <v>-1.5108987392554174E-3</v>
      </c>
      <c r="AG23">
        <f>AG21-$C22</f>
        <v>8.1208799055801362E-4</v>
      </c>
      <c r="AI23">
        <f>AI21-$C22</f>
        <v>9.4048362022092491E-3</v>
      </c>
      <c r="AK23">
        <f>AK21-$C22</f>
        <v>5.3874518205510452E-3</v>
      </c>
      <c r="AM23">
        <f>AM21-$C22</f>
        <v>2.2747054984218473E-3</v>
      </c>
      <c r="AO23">
        <f>AO21-$C22</f>
        <v>-4.4442129632256411E-4</v>
      </c>
      <c r="AQ23">
        <f>AQ21-$C22</f>
        <v>-6.2695682837179689E-3</v>
      </c>
      <c r="AS23">
        <f>AS21-$C22</f>
        <v>-1.6636176576839967E-3</v>
      </c>
      <c r="AU23">
        <f>AU21-$C22</f>
        <v>-1.099610318262792E-3</v>
      </c>
    </row>
    <row r="24" spans="1:47" x14ac:dyDescent="0.3">
      <c r="A24" s="7" t="s">
        <v>64</v>
      </c>
      <c r="C24" s="29">
        <f>MOD(C9-C17,360)</f>
        <v>278.56</v>
      </c>
      <c r="E24" s="29">
        <f>MOD(E9-E17,360)</f>
        <v>281.93385734354479</v>
      </c>
      <c r="G24" s="29">
        <f>MOD(G9-G17,360)</f>
        <v>281.97939660300534</v>
      </c>
      <c r="I24" s="29">
        <f>MOD(I9-I17,360)</f>
        <v>188.56</v>
      </c>
      <c r="K24" s="29">
        <f>MOD(K9-K17,360)</f>
        <v>191.24548280546287</v>
      </c>
      <c r="M24" s="29">
        <f>MOD(M9-M17,360)</f>
        <v>191.28624346792645</v>
      </c>
      <c r="O24" s="29">
        <f>MOD(O9-O17,360)</f>
        <v>190.78947036727891</v>
      </c>
      <c r="Q24" s="29">
        <f>MOD(Q9-Q17,360)</f>
        <v>290.44859051364818</v>
      </c>
      <c r="S24" s="29">
        <f>MOD(S9-S17,360)</f>
        <v>292.7017290002259</v>
      </c>
      <c r="U24" s="29">
        <f>MOD(U9-U17,360)</f>
        <v>293.04150783428167</v>
      </c>
      <c r="W24" s="29">
        <f>MOD(W9-W17,360)</f>
        <v>293.56313986477483</v>
      </c>
      <c r="Y24" s="29">
        <f>MOD(Y9-Y17,360)</f>
        <v>294.22774531795415</v>
      </c>
      <c r="AA24" s="29">
        <f>MOD(AA9-AA17,360)</f>
        <v>191.40013152161833</v>
      </c>
      <c r="AC24" s="29">
        <f>MOD(AC9-AC17,360)</f>
        <v>190.91253849895904</v>
      </c>
      <c r="AE24" s="29">
        <f>MOD(AE9-AE17,360)</f>
        <v>190.38005995222898</v>
      </c>
      <c r="AG24" s="29">
        <f>MOD(AG9-AG17,360)</f>
        <v>190.89441839219029</v>
      </c>
      <c r="AI24" s="29">
        <f>MOD(AI9-AI17,360)</f>
        <v>292.02669160433305</v>
      </c>
      <c r="AK24" s="29">
        <f>MOD(AK9-AK17,360)</f>
        <v>290.16654043820159</v>
      </c>
      <c r="AM24" s="29">
        <f>MOD(AM9-AM17,360)</f>
        <v>196.34229924119319</v>
      </c>
      <c r="AO24" s="29">
        <f>MOD(AO9-AO17,360)</f>
        <v>197.23809084232602</v>
      </c>
      <c r="AQ24" s="29">
        <f>MOD(AQ9-AQ17,360)</f>
        <v>196.45613244420335</v>
      </c>
      <c r="AS24" s="29">
        <f>MOD(AS9-AS17,360)</f>
        <v>190.37235913922473</v>
      </c>
      <c r="AU24" s="29">
        <f>MOD(AU9-AU17,360)</f>
        <v>189.52466797179002</v>
      </c>
    </row>
    <row r="25" spans="1:47" x14ac:dyDescent="0.3">
      <c r="A25" t="s">
        <v>36</v>
      </c>
      <c r="B25">
        <f>STDEV(B24:G24)</f>
        <v>1.961175681718653</v>
      </c>
      <c r="C25">
        <f>AVERAGE(B24:G24)</f>
        <v>280.82441798218338</v>
      </c>
      <c r="H25">
        <f>STDEV(H24:K24)</f>
        <v>1.8989231025026683</v>
      </c>
      <c r="I25">
        <f>AVERAGE(H24:K24)</f>
        <v>189.90274140273144</v>
      </c>
      <c r="L25">
        <f>STDEV(L24:O24)</f>
        <v>0.35127162817894608</v>
      </c>
      <c r="M25">
        <f>AVERAGE(L24:O24)</f>
        <v>191.03785691760268</v>
      </c>
      <c r="P25">
        <f>STDEV(P24:S24)</f>
        <v>1.5932095028114945</v>
      </c>
      <c r="Q25">
        <f>AVERAGE(P24:S24)</f>
        <v>291.57515975693707</v>
      </c>
      <c r="T25">
        <f>STDEV(T24:Y24)</f>
        <v>0.5945530185640433</v>
      </c>
      <c r="U25">
        <f>AVERAGE(T24:Y24)</f>
        <v>293.6107976723369</v>
      </c>
      <c r="Z25">
        <f>STDEV(Z24:AG24)</f>
        <v>0.41657983203051951</v>
      </c>
      <c r="AA25">
        <f>AVERAGE(Z24:AG24)</f>
        <v>190.89678709124917</v>
      </c>
      <c r="AD25">
        <f>STDEV(AD24:AG24)</f>
        <v>0.36370634085717829</v>
      </c>
      <c r="AE25">
        <f>AVERAGE(AD24:AG24)</f>
        <v>190.63723917220963</v>
      </c>
      <c r="AH25">
        <f>STDEV(AH24:AK24)</f>
        <v>1.3153255036036187</v>
      </c>
      <c r="AI25">
        <f>AVERAGE(AH24:AK24)</f>
        <v>291.09661602126732</v>
      </c>
      <c r="AL25">
        <f>STDEV(AL24:AO24)</f>
        <v>0.63342031569097768</v>
      </c>
      <c r="AM25">
        <f>AVERAGE(AL24:AO24)</f>
        <v>196.7901950417596</v>
      </c>
      <c r="AP25">
        <f>STDEV(AP24:AU24)</f>
        <v>3.781006869297415</v>
      </c>
      <c r="AQ25">
        <f>AVERAGE(AP24:AU24)</f>
        <v>192.11771985173937</v>
      </c>
    </row>
    <row r="26" spans="1:47" x14ac:dyDescent="0.3">
      <c r="A26" t="s">
        <v>35</v>
      </c>
      <c r="C26">
        <f>C24-$C25</f>
        <v>-2.2644179821833745</v>
      </c>
      <c r="E26">
        <f>E24-$C25</f>
        <v>1.1094393613614102</v>
      </c>
      <c r="G26">
        <f>G24-$C25</f>
        <v>1.1549786208219643</v>
      </c>
      <c r="I26">
        <f>I24-$I25</f>
        <v>-1.3427414027314342</v>
      </c>
      <c r="K26">
        <f>K24-$I25</f>
        <v>1.3427414027314342</v>
      </c>
      <c r="M26">
        <f>M24-$C25</f>
        <v>-89.538174514256923</v>
      </c>
      <c r="O26">
        <f>O24-$C25</f>
        <v>-90.034947614904468</v>
      </c>
      <c r="Q26">
        <f>Q24-$C25</f>
        <v>9.6241725314648079</v>
      </c>
      <c r="S26">
        <f>S24-$C25</f>
        <v>11.877311018042519</v>
      </c>
      <c r="U26">
        <f>U24-$C25</f>
        <v>12.217089852098297</v>
      </c>
      <c r="W26">
        <f>W24-$C25</f>
        <v>12.738721882591449</v>
      </c>
      <c r="Y26">
        <f>Y24-$C25</f>
        <v>13.403327335770769</v>
      </c>
      <c r="AA26">
        <f>AA24-$C25</f>
        <v>-89.424286460565042</v>
      </c>
      <c r="AC26">
        <f>AC24-$C25</f>
        <v>-89.91187948322434</v>
      </c>
      <c r="AE26">
        <f>AE24-$C25</f>
        <v>-90.444358029954401</v>
      </c>
      <c r="AG26">
        <f>AG24-$C25</f>
        <v>-89.929999589993088</v>
      </c>
      <c r="AI26">
        <f>AI24-$C25</f>
        <v>11.202273622149676</v>
      </c>
      <c r="AK26">
        <f>AK24-$C25</f>
        <v>9.3421224560182168</v>
      </c>
      <c r="AM26">
        <f>AM24-$C25</f>
        <v>-84.482118740990188</v>
      </c>
      <c r="AO26">
        <f>AO24-$C25</f>
        <v>-83.58632713985736</v>
      </c>
      <c r="AQ26">
        <f>AQ24-$C25</f>
        <v>-84.368285537980029</v>
      </c>
      <c r="AS26">
        <f>AS24-$C25</f>
        <v>-90.45205884295865</v>
      </c>
      <c r="AU26">
        <f>AU24-$C25</f>
        <v>-91.299750010393353</v>
      </c>
    </row>
    <row r="27" spans="1:47" x14ac:dyDescent="0.3">
      <c r="A27" t="s">
        <v>67</v>
      </c>
      <c r="C27">
        <f>SQRT(C16)</f>
        <v>0.9959919678390986</v>
      </c>
      <c r="E27" s="49">
        <f>SQRT(E16)</f>
        <v>7.9462860055638771</v>
      </c>
      <c r="G27" s="49">
        <f>SQRT(G16)</f>
        <v>7.9462860055638771</v>
      </c>
      <c r="I27">
        <f>SQRT(I16)</f>
        <v>0.9959919678390986</v>
      </c>
      <c r="K27" s="49">
        <f>SQRT(K16)</f>
        <v>7.9462860055638771</v>
      </c>
      <c r="M27">
        <f>SQRT(M16)</f>
        <v>0.95184032274326347</v>
      </c>
      <c r="O27" s="49">
        <f>SQRT(O16)</f>
        <v>7.7757324575150886</v>
      </c>
      <c r="Q27">
        <f>SQRT(Q16)</f>
        <v>0.95184032274326347</v>
      </c>
      <c r="S27" s="49">
        <f>SQRT(S16)</f>
        <v>7.7757324575150886</v>
      </c>
      <c r="U27">
        <f>SQRT(U16)</f>
        <v>5.5840845265808792</v>
      </c>
      <c r="W27" s="49">
        <f>SQRT(W16)</f>
        <v>7.6584588812295173</v>
      </c>
      <c r="Y27" s="49">
        <f>SQRT(Y16)</f>
        <v>7.6584588812295173</v>
      </c>
      <c r="AA27">
        <f>SQRT(AA16)</f>
        <v>1.5378556499229699</v>
      </c>
      <c r="AC27" s="49">
        <f>SQRT(AC16)</f>
        <v>7.6100159027600629</v>
      </c>
      <c r="AE27">
        <f>SQRT(AE16)</f>
        <v>1.5336231610144651</v>
      </c>
      <c r="AG27" s="49">
        <f>SQRT(AG16)</f>
        <v>7.6100159027600629</v>
      </c>
      <c r="AI27">
        <f>SQRT(AI16)</f>
        <v>1.3304134695650072</v>
      </c>
      <c r="AK27" s="49">
        <f>SQRT(AK16)</f>
        <v>8.1203245969174915</v>
      </c>
      <c r="AM27">
        <f>SQRT(AM16)</f>
        <v>1.3304134695650072</v>
      </c>
      <c r="AO27" s="49">
        <f>SQRT(AO16)</f>
        <v>8.1203245969174915</v>
      </c>
      <c r="AQ27">
        <f>SQRT(AQ16)</f>
        <v>1.6337074401495515</v>
      </c>
      <c r="AS27" s="49">
        <f>SQRT(AS16)</f>
        <v>7.284048353760225</v>
      </c>
      <c r="AU27" s="49">
        <f>SQRT(AU16)</f>
        <v>7.284048353760225</v>
      </c>
    </row>
    <row r="28" spans="1:47" x14ac:dyDescent="0.3">
      <c r="A28" t="s">
        <v>68</v>
      </c>
      <c r="C28">
        <f>C27*C21</f>
        <v>9.8802403209638581E-2</v>
      </c>
      <c r="E28">
        <f>E27*E21</f>
        <v>0.96068792955963178</v>
      </c>
      <c r="G28">
        <f>G27*G21</f>
        <v>0.96430041650214249</v>
      </c>
      <c r="I28">
        <f>I27*I21</f>
        <v>0.10978044801070953</v>
      </c>
      <c r="K28">
        <f>K27*K21</f>
        <v>0.95930334846638943</v>
      </c>
      <c r="M28">
        <f>M27*M21</f>
        <v>0.104577399987929</v>
      </c>
      <c r="O28">
        <f>O27*O21</f>
        <v>0.90731871761891947</v>
      </c>
      <c r="Q28">
        <f>Q27*Q21</f>
        <v>0.11323437823290726</v>
      </c>
      <c r="S28">
        <f>S27*S21</f>
        <v>0.97027586428831636</v>
      </c>
      <c r="U28">
        <f>U27*U21</f>
        <v>0.65408033252578957</v>
      </c>
      <c r="W28">
        <f>W27*W21</f>
        <v>0.9068963976838974</v>
      </c>
      <c r="Y28">
        <f>Y27*Y21</f>
        <v>0.93095552952596672</v>
      </c>
      <c r="AA28">
        <f>AA27*AA21</f>
        <v>0.18151491778231876</v>
      </c>
      <c r="AC28">
        <f>AC27*AC21</f>
        <v>0.9168316761617108</v>
      </c>
      <c r="AE28">
        <f>AE27*AE21</f>
        <v>0.17889556231485529</v>
      </c>
      <c r="AG28">
        <f>AG27*AG21</f>
        <v>0.90537848376010988</v>
      </c>
      <c r="AI28">
        <f>AI27*AI21</f>
        <v>0.16971380188117902</v>
      </c>
      <c r="AK28">
        <f>AK27*AK21</f>
        <v>1.0032443471601262</v>
      </c>
      <c r="AM28">
        <f>AM27*AM21</f>
        <v>0.16022777995310125</v>
      </c>
      <c r="AO28">
        <f>AO27*AO21</f>
        <v>0.95588764444307572</v>
      </c>
      <c r="AQ28">
        <f>AQ27*AQ21</f>
        <v>0.18279601656314409</v>
      </c>
      <c r="AS28">
        <f>AS27*AS21</f>
        <v>0.8485643269281411</v>
      </c>
      <c r="AU28">
        <f>AU27*AU21</f>
        <v>0.85267258366036081</v>
      </c>
    </row>
    <row r="29" spans="1:47" x14ac:dyDescent="0.3">
      <c r="A29" t="s">
        <v>69</v>
      </c>
      <c r="C29" s="7">
        <f>SUM(B28:AO28)/SUM(B27:AO27)</f>
        <v>0.1198649653752264</v>
      </c>
      <c r="I29" s="7">
        <f>SUM(H28:K28)/SUM(H27:K27)</f>
        <v>0.11955385413614694</v>
      </c>
      <c r="M29" s="7">
        <f>SUM(L28:O28)/SUM(L27:O27)</f>
        <v>0.11594244391702389</v>
      </c>
      <c r="Q29" s="7"/>
      <c r="U29" s="7">
        <f>SUM(T28:Y28)/SUM(T27:Y27)</f>
        <v>0.11922549097285995</v>
      </c>
      <c r="AA29" s="7"/>
      <c r="AE29" s="7"/>
      <c r="AI29" s="7">
        <f>SUM(AH28:AK28)/SUM(AH27:AK27)</f>
        <v>0.12411286195744417</v>
      </c>
      <c r="AM29" s="7"/>
      <c r="AQ29" s="7">
        <f>SUM(AP28:CC28)/SUM(AP27:CC27)</f>
        <v>0.11628537846648335</v>
      </c>
    </row>
    <row r="30" spans="1:47" x14ac:dyDescent="0.3">
      <c r="A30" t="s">
        <v>72</v>
      </c>
      <c r="C30" s="7">
        <f>C21-$C29</f>
        <v>-2.0664965375226399E-2</v>
      </c>
      <c r="E30" s="7">
        <f>E21-$C29</f>
        <v>1.0327633104730283E-3</v>
      </c>
      <c r="G30" s="7">
        <f>G21-$C29</f>
        <v>1.4873765650149917E-3</v>
      </c>
      <c r="I30" s="7">
        <f>I21-$C29</f>
        <v>-9.6427431530041741E-3</v>
      </c>
      <c r="K30" s="7">
        <f>K21-$C29</f>
        <v>8.5852076593423421E-4</v>
      </c>
      <c r="M30" s="7">
        <f>M21-$C29</f>
        <v>-9.9963272337675602E-3</v>
      </c>
      <c r="O30" s="7">
        <f>O21-$C29</f>
        <v>-3.1790168068681485E-3</v>
      </c>
      <c r="Q30" s="7">
        <f>Q21-$C29</f>
        <v>-9.0133720431775921E-4</v>
      </c>
      <c r="S30" s="7">
        <f>S21-$C29</f>
        <v>4.9176026451746013E-3</v>
      </c>
      <c r="U30" s="7">
        <f>U21-$C29</f>
        <v>-2.7320084129360545E-3</v>
      </c>
      <c r="W30" s="7">
        <f>W21-$C29</f>
        <v>-1.4473552857274391E-3</v>
      </c>
      <c r="Y30" s="7">
        <f>Y21-$C29</f>
        <v>1.6941555867846514E-3</v>
      </c>
      <c r="AA30" s="7">
        <f>AA21-$C29</f>
        <v>-1.8337848860753431E-3</v>
      </c>
      <c r="AC30" s="7">
        <f>AC21-$C29</f>
        <v>6.1200706174141528E-4</v>
      </c>
      <c r="AE30" s="7">
        <f>AE21-$C29</f>
        <v>-3.2159952354438304E-3</v>
      </c>
      <c r="AG30" s="7">
        <f>AG21-$C29</f>
        <v>-8.9300850563039935E-4</v>
      </c>
      <c r="AI30" s="7">
        <f>AI21-$C29</f>
        <v>7.6997397060208361E-3</v>
      </c>
      <c r="AK30" s="7">
        <f>AK21-$C29</f>
        <v>3.6823553243626322E-3</v>
      </c>
      <c r="AM30" s="7">
        <f>AM21-$C29</f>
        <v>5.6960900223343436E-4</v>
      </c>
      <c r="AO30" s="7">
        <f>AO21-$C29</f>
        <v>-2.1495177925109771E-3</v>
      </c>
      <c r="AQ30" s="7">
        <f>AQ21-$C29</f>
        <v>-7.9746647799063819E-3</v>
      </c>
      <c r="AS30" s="7">
        <f>AS21-$C29</f>
        <v>-3.3687141538724097E-3</v>
      </c>
      <c r="AU30" s="7">
        <f>AU21-$C29</f>
        <v>-2.804706814451205E-3</v>
      </c>
    </row>
    <row r="31" spans="1:47" x14ac:dyDescent="0.3">
      <c r="A31" t="s">
        <v>119</v>
      </c>
      <c r="C31">
        <f>C27*C24</f>
        <v>277.44352256125933</v>
      </c>
      <c r="E31" s="49">
        <f>E27*E24</f>
        <v>2240.3270651036523</v>
      </c>
      <c r="G31" s="49">
        <f>G27*G24</f>
        <v>2240.6889330838076</v>
      </c>
      <c r="I31">
        <f>I27*I24</f>
        <v>187.80424545574044</v>
      </c>
      <c r="K31" s="49">
        <f>K27*K24</f>
        <v>1519.6913036443566</v>
      </c>
      <c r="M31">
        <f>M27*M24</f>
        <v>182.07395971885759</v>
      </c>
      <c r="O31" s="49">
        <f>O27*O24</f>
        <v>1483.5278772869638</v>
      </c>
      <c r="Q31">
        <f>Q27*Q24</f>
        <v>276.46068013483688</v>
      </c>
      <c r="S31" s="49">
        <f>S27*S24</f>
        <v>2275.9703345578419</v>
      </c>
      <c r="U31">
        <f>U27*U24</f>
        <v>1636.3685495433417</v>
      </c>
      <c r="W31" s="49">
        <f>W27*W24</f>
        <v>2248.2412356990076</v>
      </c>
      <c r="Y31" s="49">
        <f>Y27*Y24</f>
        <v>2253.3310892344225</v>
      </c>
      <c r="AA31">
        <f>AA27*AA24</f>
        <v>294.34577365652029</v>
      </c>
      <c r="AC31" s="49">
        <f>AC27*AC24</f>
        <v>1452.8474540133711</v>
      </c>
      <c r="AE31">
        <f>AE27*AE24</f>
        <v>291.97126933806078</v>
      </c>
      <c r="AG31" s="49">
        <f>AG27*AG24</f>
        <v>1452.7095597127011</v>
      </c>
      <c r="AI31">
        <f>AI27*AI24</f>
        <v>388.51624398291108</v>
      </c>
      <c r="AK31" s="49">
        <f>AK27*AK24</f>
        <v>2356.2464955227824</v>
      </c>
      <c r="AM31">
        <f>AM27*AM24</f>
        <v>261.2164395558467</v>
      </c>
      <c r="AO31" s="49">
        <f>AO27*AO24</f>
        <v>1601.6373205159866</v>
      </c>
      <c r="AQ31">
        <f>AQ27*AQ24</f>
        <v>320.95184523710071</v>
      </c>
      <c r="AS31" s="49">
        <f>AS27*AS24</f>
        <v>1386.6814691895202</v>
      </c>
      <c r="AU31" s="49">
        <f>AU27*AU24</f>
        <v>1380.5068457368704</v>
      </c>
    </row>
    <row r="32" spans="1:47" x14ac:dyDescent="0.3">
      <c r="A32" t="s">
        <v>120</v>
      </c>
      <c r="C32" s="7">
        <f>SUM(B31:G31)/SUM(B27:G27)</f>
        <v>281.75631312851357</v>
      </c>
      <c r="I32" s="7">
        <f>SUM(H31:K31)/SUM(H27:K27)</f>
        <v>190.94637341611414</v>
      </c>
      <c r="M32" s="7">
        <f>SUM(L31:O31)/SUM(L27:O27)</f>
        <v>190.84364908114998</v>
      </c>
      <c r="Q32" s="7">
        <f>SUM(P31:S31)/SUM(P27:S27)</f>
        <v>292.45599881633092</v>
      </c>
      <c r="U32" s="7">
        <f>SUM(T31:Y31)/SUM(T27:Y27)</f>
        <v>293.66729832355406</v>
      </c>
      <c r="AA32" s="7">
        <f>SUM(Z31:AG31)/SUM(Z27:AG27)</f>
        <v>190.90134926192937</v>
      </c>
      <c r="AE32" s="7"/>
      <c r="AI32" s="7">
        <f>SUM(AH31:AK31)/SUM(AH27:AK27)</f>
        <v>290.4284004272775</v>
      </c>
      <c r="AM32" s="7">
        <f>SUM(AL31:AO31)/SUM(AL27:AO27)</f>
        <v>197.11198712389825</v>
      </c>
      <c r="AQ32" s="7">
        <f>SUM(AP31:AU31)/SUM(AP27:AU27)</f>
        <v>190.60470871125793</v>
      </c>
    </row>
    <row r="33" spans="1:47" x14ac:dyDescent="0.3">
      <c r="A33" t="s">
        <v>121</v>
      </c>
      <c r="C33" s="7">
        <f>C24-$C32</f>
        <v>-3.196313128513566</v>
      </c>
      <c r="E33" s="7">
        <f>E24-$C32</f>
        <v>0.17754421503121876</v>
      </c>
      <c r="G33" s="7">
        <f>G24-$C32</f>
        <v>0.2230834744917729</v>
      </c>
      <c r="I33" s="7">
        <f>I24-$I32</f>
        <v>-2.3863734161141394</v>
      </c>
      <c r="K33" s="7">
        <f>K24-$I32</f>
        <v>0.29910938934872888</v>
      </c>
      <c r="M33" s="7">
        <f>M24-$C32</f>
        <v>-90.470069660587114</v>
      </c>
      <c r="O33" s="7">
        <f>O24-$C32</f>
        <v>-90.966842761234659</v>
      </c>
      <c r="Q33" s="7">
        <f>Q24-$C32</f>
        <v>8.6922773851346165</v>
      </c>
      <c r="S33" s="7">
        <f>S24-$C32</f>
        <v>10.945415871712328</v>
      </c>
      <c r="U33" s="7">
        <f>U24-$U32</f>
        <v>-0.62579048927239</v>
      </c>
      <c r="W33" s="7">
        <f>W24-$U32</f>
        <v>-0.10415845877923857</v>
      </c>
      <c r="Y33" s="7">
        <f>Y24-$U32</f>
        <v>0.56044699440008117</v>
      </c>
      <c r="AA33" s="7">
        <f>AA24-$C32</f>
        <v>-90.356181606895234</v>
      </c>
      <c r="AC33" s="7">
        <f>AC24-$C32</f>
        <v>-90.843774629554531</v>
      </c>
      <c r="AE33" s="7">
        <f>AE24-$C32</f>
        <v>-91.376253176284592</v>
      </c>
      <c r="AG33" s="7">
        <f>AG24-$C32</f>
        <v>-90.861894736323279</v>
      </c>
      <c r="AI33" s="7">
        <f>AI24-$C32</f>
        <v>10.270378475819484</v>
      </c>
      <c r="AK33" s="7">
        <f>AK24-$C32</f>
        <v>8.4102273096880253</v>
      </c>
      <c r="AM33" s="7">
        <f>AM24-$C32</f>
        <v>-85.41401388732038</v>
      </c>
      <c r="AO33" s="7">
        <f>AO24-$C32</f>
        <v>-84.518222286187552</v>
      </c>
      <c r="AQ33" s="7">
        <f>AQ24-$C32</f>
        <v>-85.30018068431022</v>
      </c>
      <c r="AS33" s="7">
        <f>AS24-$C32</f>
        <v>-91.383953989288841</v>
      </c>
      <c r="AU33" s="7">
        <f>AU24-$C32</f>
        <v>-92.231645156723545</v>
      </c>
    </row>
    <row r="34" spans="1:47" s="14" customFormat="1" ht="75.75" customHeight="1" x14ac:dyDescent="0.3">
      <c r="A34" s="15" t="s">
        <v>40</v>
      </c>
      <c r="B34" s="391"/>
      <c r="C34" s="391"/>
      <c r="D34" s="51"/>
      <c r="E34" s="51"/>
      <c r="F34" s="51"/>
      <c r="G34" s="51"/>
      <c r="H34" s="391"/>
      <c r="I34" s="391"/>
      <c r="J34" s="51"/>
      <c r="K34" s="51"/>
      <c r="L34" s="391"/>
      <c r="M34" s="391"/>
      <c r="N34" s="51"/>
      <c r="O34" s="51"/>
      <c r="P34" s="391"/>
      <c r="Q34" s="391"/>
      <c r="R34" s="51"/>
      <c r="S34" s="51"/>
      <c r="T34" s="391"/>
      <c r="U34" s="391"/>
      <c r="V34" s="51"/>
      <c r="W34" s="51"/>
      <c r="X34" s="51"/>
      <c r="Y34" s="51"/>
      <c r="Z34" s="391"/>
      <c r="AA34" s="391"/>
      <c r="AB34" s="51"/>
      <c r="AC34" s="51"/>
      <c r="AD34" s="391"/>
      <c r="AE34" s="391"/>
      <c r="AF34" s="51"/>
      <c r="AG34" s="51"/>
      <c r="AH34" s="391"/>
      <c r="AI34" s="391"/>
      <c r="AJ34" s="51"/>
      <c r="AK34" s="51"/>
      <c r="AL34" s="391"/>
      <c r="AM34" s="391"/>
      <c r="AN34" s="51"/>
      <c r="AO34" s="51"/>
      <c r="AP34" s="391"/>
      <c r="AQ34" s="391"/>
      <c r="AR34" s="51"/>
      <c r="AS34" s="51"/>
      <c r="AT34" s="51"/>
      <c r="AU34" s="51"/>
    </row>
    <row r="35" spans="1:47" s="19" customFormat="1" x14ac:dyDescent="0.3">
      <c r="A35" s="20" t="s">
        <v>54</v>
      </c>
      <c r="B35" s="20"/>
      <c r="C35" s="20"/>
      <c r="D35" s="47"/>
      <c r="E35" s="47"/>
      <c r="F35" s="47"/>
      <c r="G35" s="47"/>
      <c r="H35" s="20"/>
      <c r="I35" s="20"/>
      <c r="J35" s="47"/>
      <c r="K35" s="47"/>
      <c r="L35" s="20"/>
      <c r="M35" s="20"/>
      <c r="N35" s="47"/>
      <c r="O35" s="47"/>
      <c r="P35" s="20"/>
      <c r="Q35" s="20"/>
      <c r="R35" s="47"/>
      <c r="S35" s="47"/>
      <c r="T35" s="20"/>
      <c r="U35" s="20"/>
      <c r="V35" s="47"/>
      <c r="W35" s="47"/>
      <c r="X35" s="47"/>
      <c r="Y35" s="47"/>
      <c r="Z35" s="20"/>
      <c r="AA35" s="20"/>
      <c r="AB35" s="47"/>
      <c r="AC35" s="47"/>
      <c r="AD35" s="20"/>
      <c r="AE35" s="20"/>
      <c r="AF35" s="47"/>
      <c r="AG35" s="47"/>
      <c r="AH35" s="20"/>
      <c r="AI35" s="20"/>
      <c r="AJ35" s="47"/>
      <c r="AK35" s="47"/>
      <c r="AL35" s="20"/>
      <c r="AM35" s="20"/>
      <c r="AN35" s="47"/>
      <c r="AO35" s="47"/>
      <c r="AP35" s="20"/>
      <c r="AQ35" s="20"/>
      <c r="AR35" s="47"/>
      <c r="AS35" s="47"/>
      <c r="AT35" s="47"/>
      <c r="AU35" s="47"/>
    </row>
    <row r="36" spans="1:47" x14ac:dyDescent="0.3">
      <c r="A36" s="7" t="s">
        <v>42</v>
      </c>
      <c r="C36" s="4">
        <f>C8*$C29</f>
        <v>1.198649653752264</v>
      </c>
      <c r="I36" s="4">
        <f>I8*$C29</f>
        <v>1.0787846883770376</v>
      </c>
      <c r="M36" s="4">
        <f>M8*$C29</f>
        <v>0.98843182610612412</v>
      </c>
      <c r="Q36" s="4">
        <f>Q8*$C29</f>
        <v>0.91286437963995781</v>
      </c>
      <c r="U36" s="110">
        <f>U8*$C29</f>
        <v>31.909288788240854</v>
      </c>
      <c r="AA36" s="110">
        <f>AA8*$C29</f>
        <v>2.4017436912652657</v>
      </c>
      <c r="AE36" s="110">
        <f>AE8*$C29</f>
        <v>2.4168442998227913</v>
      </c>
      <c r="AI36" s="4">
        <f>AI8*$C29</f>
        <v>1.6631637142814955</v>
      </c>
      <c r="AM36" s="110">
        <f>AM8*$C29</f>
        <v>1.7616285839081949</v>
      </c>
      <c r="AQ36" s="110">
        <f>AQ8*$C29</f>
        <v>2.8592254278013831</v>
      </c>
    </row>
    <row r="37" spans="1:47" x14ac:dyDescent="0.3">
      <c r="A37" t="s">
        <v>50</v>
      </c>
      <c r="C37" s="4">
        <f>C36-C16</f>
        <v>0.20664965375226396</v>
      </c>
      <c r="I37" s="4">
        <f>I36-I16</f>
        <v>8.6784688377037567E-2</v>
      </c>
      <c r="M37" s="4">
        <f>M36-M16</f>
        <v>8.2431826106124095E-2</v>
      </c>
      <c r="Q37" s="4">
        <f>Q36-Q16</f>
        <v>6.864379639957785E-3</v>
      </c>
      <c r="U37" s="4">
        <f>U36-U16</f>
        <v>0.72728878824085541</v>
      </c>
      <c r="AA37" s="4">
        <f>AA36-AA16</f>
        <v>3.6743691265265443E-2</v>
      </c>
      <c r="AE37" s="4">
        <f>AE36-AE16</f>
        <v>6.4844299822791385E-2</v>
      </c>
      <c r="AI37" s="4">
        <f>AI36-AI16</f>
        <v>-0.10683628571850456</v>
      </c>
      <c r="AM37" s="4">
        <f>AM36-AM16</f>
        <v>-8.3714160918051395E-3</v>
      </c>
      <c r="AQ37" s="4">
        <f>AQ36-AQ16</f>
        <v>0.19022542780138307</v>
      </c>
    </row>
    <row r="38" spans="1:47" x14ac:dyDescent="0.3">
      <c r="A38" t="s">
        <v>51</v>
      </c>
      <c r="C38" s="23">
        <f>C37/C16</f>
        <v>0.20831618321800802</v>
      </c>
      <c r="I38" s="23">
        <f>I37/I16</f>
        <v>8.748456489620722E-2</v>
      </c>
      <c r="M38" s="23">
        <f>M37/M16</f>
        <v>9.0984355525523281E-2</v>
      </c>
      <c r="Q38" s="23">
        <f>Q37/Q16</f>
        <v>7.5765779690483278E-3</v>
      </c>
      <c r="U38" s="23">
        <f>U37/U16</f>
        <v>2.3323994235163088E-2</v>
      </c>
      <c r="AA38" s="23">
        <f>AA37/AA16</f>
        <v>1.5536444509625979E-2</v>
      </c>
      <c r="AE38" s="23">
        <f>AE37/AE16</f>
        <v>2.7569855366833072E-2</v>
      </c>
      <c r="AI38" s="23">
        <f>AI37/AI16</f>
        <v>-6.0359483456782242E-2</v>
      </c>
      <c r="AM38" s="23">
        <f>AM37/AM16</f>
        <v>-4.7296136111893445E-3</v>
      </c>
      <c r="AQ38" s="23">
        <f>AQ37/AQ16</f>
        <v>7.1272172274778223E-2</v>
      </c>
    </row>
    <row r="39" spans="1:47" x14ac:dyDescent="0.3">
      <c r="A39" s="29" t="s">
        <v>53</v>
      </c>
      <c r="B39">
        <f>AVERAGE(B37:E37)</f>
        <v>0.20664965375226396</v>
      </c>
      <c r="C39" s="23">
        <f>AVERAGE(C38:E38)</f>
        <v>0.20831618321800802</v>
      </c>
      <c r="H39">
        <f>AVERAGE(H37:K37)</f>
        <v>8.6784688377037567E-2</v>
      </c>
      <c r="I39" s="23">
        <f>AVERAGE(I38:K38)</f>
        <v>8.748456489620722E-2</v>
      </c>
      <c r="L39">
        <f>AVERAGE(L37:S37)</f>
        <v>4.464810287304094E-2</v>
      </c>
      <c r="M39" s="23">
        <f>AVERAGE(M38:S38)</f>
        <v>4.9280466747285805E-2</v>
      </c>
      <c r="Q39" s="23"/>
      <c r="U39" s="23"/>
      <c r="Z39" s="100">
        <f>AVERAGE(AA37,AE37)</f>
        <v>5.0793995544028414E-2</v>
      </c>
      <c r="AA39" s="94">
        <f>AVERAGE(AA37,AE37)</f>
        <v>5.0793995544028414E-2</v>
      </c>
      <c r="AE39" s="23"/>
      <c r="AH39">
        <f>AVERAGE(AH37:AO37)</f>
        <v>-5.7603850905154852E-2</v>
      </c>
      <c r="AI39" s="23">
        <f>AVERAGE(AI38:AO38)</f>
        <v>-3.2544548533985793E-2</v>
      </c>
      <c r="AM39" s="23"/>
      <c r="AP39">
        <f>AVERAGE(AP37:AS37)</f>
        <v>0.19022542780138307</v>
      </c>
      <c r="AQ39" s="23">
        <f>AVERAGE(AQ38:AS38)</f>
        <v>7.1272172274778223E-2</v>
      </c>
    </row>
    <row r="40" spans="1:47" x14ac:dyDescent="0.3">
      <c r="A40" s="29" t="s">
        <v>52</v>
      </c>
      <c r="B40" t="e">
        <f>STDEV(B37:E37)</f>
        <v>#DIV/0!</v>
      </c>
      <c r="C40" s="23" t="e">
        <f>STDEV(C38:E38)</f>
        <v>#DIV/0!</v>
      </c>
      <c r="H40" t="e">
        <f>STDEV(H37:K37)</f>
        <v>#DIV/0!</v>
      </c>
      <c r="I40" s="23" t="e">
        <f>STDEV(I38:K38)</f>
        <v>#DIV/0!</v>
      </c>
      <c r="L40">
        <f>STDEV(L37:S37)</f>
        <v>5.3434253833177604E-2</v>
      </c>
      <c r="M40" s="23">
        <f>STDEV(M38:S38)</f>
        <v>5.8978205113882562E-2</v>
      </c>
      <c r="Q40" s="23"/>
      <c r="U40" s="23"/>
      <c r="Z40" s="73">
        <f>STDEV(AA37,AE37)</f>
        <v>1.9870130866495334E-2</v>
      </c>
      <c r="AA40" s="94">
        <f>STDEV(AA37,AE37)</f>
        <v>1.9870130866495334E-2</v>
      </c>
      <c r="AE40" s="23"/>
      <c r="AH40">
        <f>STDEV(AH37:AO37)</f>
        <v>6.9625177021688481E-2</v>
      </c>
      <c r="AI40" s="23">
        <f>STDEV(AI38:AO38)</f>
        <v>3.933625820434377E-2</v>
      </c>
      <c r="AM40" s="23"/>
      <c r="AP40" t="e">
        <f>STDEV(AP37:AS37)</f>
        <v>#DIV/0!</v>
      </c>
      <c r="AQ40" s="23" t="e">
        <f>STDEV(AQ38:AS38)</f>
        <v>#DIV/0!</v>
      </c>
    </row>
    <row r="41" spans="1:47" x14ac:dyDescent="0.3">
      <c r="C41" s="23"/>
      <c r="I41" s="23"/>
      <c r="M41" s="23"/>
      <c r="Q41" s="23"/>
      <c r="U41" s="23"/>
      <c r="AA41" s="23"/>
      <c r="AE41" s="23"/>
      <c r="AI41" s="23"/>
      <c r="AM41" s="23"/>
      <c r="AQ41" s="23"/>
    </row>
    <row r="42" spans="1:47" x14ac:dyDescent="0.3">
      <c r="A42" s="7" t="s">
        <v>43</v>
      </c>
      <c r="C42" s="4">
        <f>MOD(C9-$C32,360)</f>
        <v>258.24368687148643</v>
      </c>
      <c r="E42" s="4"/>
      <c r="G42" s="4"/>
      <c r="I42" s="4">
        <f>MOD(I9-$I32,360)</f>
        <v>259.05362658388583</v>
      </c>
      <c r="K42" s="4"/>
      <c r="M42" s="4">
        <f>MOD(M9-$M32,360)</f>
        <v>3.1925943867764772</v>
      </c>
      <c r="O42" s="4"/>
      <c r="Q42" s="4">
        <f>MOD(Q9-$Q32,360)</f>
        <v>0.74259169731726615</v>
      </c>
      <c r="S42" s="4"/>
      <c r="U42" s="4">
        <f>MOD(U9-$Q32,360)</f>
        <v>151.37550901795072</v>
      </c>
      <c r="W42" s="4"/>
      <c r="Y42" s="4"/>
      <c r="AA42" s="4">
        <f>MOD(AA9-$AA32,360)</f>
        <v>79.258782259688957</v>
      </c>
      <c r="AC42" s="4"/>
      <c r="AE42" s="4">
        <f>MOD(AE9-$AA32,360)</f>
        <v>347.47871069029964</v>
      </c>
      <c r="AG42" s="4"/>
      <c r="AI42" s="4">
        <f>MOD(AI9-$AK24,360)</f>
        <v>313.44015116613144</v>
      </c>
      <c r="AK42" s="4"/>
      <c r="AM42" s="4">
        <f>MOD(AM9-$AO24,360)</f>
        <v>310.68420839886716</v>
      </c>
      <c r="AO42" s="4"/>
      <c r="AQ42" s="4">
        <f>MOD(AQ9-$AQ32,360)</f>
        <v>226.37142373294543</v>
      </c>
      <c r="AS42" s="4"/>
      <c r="AU42" s="4"/>
    </row>
    <row r="43" spans="1:47" x14ac:dyDescent="0.3">
      <c r="A43" t="s">
        <v>55</v>
      </c>
      <c r="C43" s="4">
        <f>C42-C17</f>
        <v>-3.196313128513566</v>
      </c>
      <c r="E43" s="4"/>
      <c r="G43" s="4"/>
      <c r="I43" s="4">
        <f>I42-I17</f>
        <v>-2.3863734161141679</v>
      </c>
      <c r="K43" s="4"/>
      <c r="M43" s="4">
        <f>M42-M17</f>
        <v>0.44259438677647722</v>
      </c>
      <c r="O43" s="4"/>
      <c r="Q43" s="4">
        <f>Q42-Q17</f>
        <v>-2.0074083026827338</v>
      </c>
      <c r="S43" s="4"/>
      <c r="U43" s="4">
        <f>U42-U17</f>
        <v>0.58550901795072718</v>
      </c>
      <c r="W43" s="4"/>
      <c r="Y43" s="4"/>
      <c r="AA43" s="4">
        <f>AA42-AA17</f>
        <v>0.49878225968895151</v>
      </c>
      <c r="AC43" s="4"/>
      <c r="AE43" s="4">
        <f>AE42-AE17</f>
        <v>-0.52128930970036436</v>
      </c>
      <c r="AG43" s="4"/>
      <c r="AI43" s="4">
        <f>AI42-AI17</f>
        <v>1.8601511661314589</v>
      </c>
      <c r="AK43" s="4"/>
      <c r="AM43" s="4">
        <f>AM42-AM17</f>
        <v>-0.89579160113282796</v>
      </c>
      <c r="AO43" s="4"/>
      <c r="AQ43" s="4">
        <f>AQ42-AQ17</f>
        <v>5.8514237329454204</v>
      </c>
      <c r="AS43" s="4"/>
      <c r="AU43" s="4"/>
    </row>
    <row r="44" spans="1:47" x14ac:dyDescent="0.3">
      <c r="A44" t="s">
        <v>56</v>
      </c>
      <c r="B44">
        <f>AVERAGE(B43:E43)</f>
        <v>-3.196313128513566</v>
      </c>
      <c r="C44" s="4"/>
      <c r="E44" s="106"/>
      <c r="G44" s="106"/>
      <c r="H44">
        <f>AVERAGE(H43:K43)</f>
        <v>-2.3863734161141679</v>
      </c>
      <c r="I44" s="4"/>
      <c r="K44" s="106"/>
      <c r="L44">
        <f>AVERAGE(L43:S43)</f>
        <v>-0.78240695795312831</v>
      </c>
      <c r="M44" s="4"/>
      <c r="O44" s="106"/>
      <c r="Q44" s="4"/>
      <c r="S44" s="106"/>
      <c r="U44" s="4"/>
      <c r="W44" s="106"/>
      <c r="Y44" s="106"/>
      <c r="Z44" s="100">
        <f>AVERAGE(AA43,AE43)</f>
        <v>-1.1253525005706422E-2</v>
      </c>
      <c r="AA44" s="4"/>
      <c r="AC44" s="106"/>
      <c r="AE44" s="4"/>
      <c r="AG44" s="106"/>
      <c r="AH44">
        <f>AVERAGE(AH43:AO43)</f>
        <v>0.48217978249931548</v>
      </c>
      <c r="AI44" s="4"/>
      <c r="AK44" s="106"/>
      <c r="AM44" s="4"/>
      <c r="AO44" s="106"/>
      <c r="AP44">
        <f>AVERAGE(AP43:AS43)</f>
        <v>5.8514237329454204</v>
      </c>
      <c r="AQ44" s="4"/>
      <c r="AS44" s="106"/>
      <c r="AU44" s="106"/>
    </row>
    <row r="45" spans="1:47" x14ac:dyDescent="0.3">
      <c r="A45" t="s">
        <v>57</v>
      </c>
      <c r="B45" t="e">
        <f>STDEV(B43:E43)</f>
        <v>#DIV/0!</v>
      </c>
      <c r="C45" s="4"/>
      <c r="H45" t="e">
        <f>STDEV(H43:K43)</f>
        <v>#DIV/0!</v>
      </c>
      <c r="I45" s="4"/>
      <c r="L45">
        <f>STDEV(L43:S43)</f>
        <v>1.7324135156418874</v>
      </c>
      <c r="M45" s="4"/>
      <c r="Q45" s="4"/>
      <c r="U45" s="4"/>
      <c r="Z45" s="73">
        <f>STDEV(AA43,AE43)</f>
        <v>0.72129952401078912</v>
      </c>
      <c r="AA45" s="4"/>
      <c r="AE45" s="4"/>
      <c r="AH45">
        <f>STDEV(AH43:AO43)</f>
        <v>1.9487458192945963</v>
      </c>
      <c r="AI45" s="4"/>
      <c r="AM45" s="4"/>
      <c r="AP45" t="e">
        <f>STDEV(AP43:AS43)</f>
        <v>#DIV/0!</v>
      </c>
      <c r="AQ45" s="4"/>
    </row>
    <row r="46" spans="1:47" x14ac:dyDescent="0.3">
      <c r="C46" s="4"/>
      <c r="I46" s="4"/>
      <c r="M46" s="4"/>
      <c r="Q46" s="4"/>
      <c r="U46" s="4"/>
      <c r="AA46" s="4"/>
      <c r="AE46" s="4"/>
      <c r="AI46" s="4"/>
      <c r="AM46" s="4"/>
      <c r="AQ46" s="4"/>
    </row>
    <row r="47" spans="1:47" x14ac:dyDescent="0.3">
      <c r="A47" t="s">
        <v>44</v>
      </c>
      <c r="B47" s="9">
        <f>-C36*SIN((C42)/180*PI())</f>
        <v>1.1735056138870921</v>
      </c>
      <c r="C47" s="9">
        <f>C36*COS((C42)/180*PI())</f>
        <v>-0.24422441854962265</v>
      </c>
      <c r="H47" s="9">
        <f>-I36*SIN((I42)/180*PI())</f>
        <v>1.0591565711379285</v>
      </c>
      <c r="I47" s="9">
        <f>I36*COS((I42)/180*PI())</f>
        <v>-0.20485058382169211</v>
      </c>
      <c r="L47" s="9">
        <f>-M36*SIN((M42)/180*PI())</f>
        <v>-5.5048193738925506E-2</v>
      </c>
      <c r="M47" s="9">
        <f>M36*COS((M42)/180*PI())</f>
        <v>0.98689775115032508</v>
      </c>
      <c r="P47" s="9">
        <f>-Q36*SIN((Q42)/180*PI())</f>
        <v>-1.1831002852202758E-2</v>
      </c>
      <c r="Q47" s="9">
        <f>Q36*COS((Q42)/180*PI())</f>
        <v>0.91278770970415468</v>
      </c>
      <c r="T47" s="9">
        <f>-U36*SIN((U42)/180*PI())</f>
        <v>-15.286690650417464</v>
      </c>
      <c r="U47" s="9">
        <f>U36*COS((U42)/180*PI())</f>
        <v>-28.009280603574823</v>
      </c>
      <c r="Z47" s="9">
        <f>-AA36*SIN((AA42)/180*PI())</f>
        <v>-2.3596626835298462</v>
      </c>
      <c r="AA47" s="9">
        <f>AA36*COS((AA42)/180*PI())</f>
        <v>0.44762124445699375</v>
      </c>
      <c r="AD47" s="9">
        <f>-AE36*SIN((AE42)/180*PI())</f>
        <v>0.52397754766428783</v>
      </c>
      <c r="AE47" s="9">
        <f>AE36*COS((AE42)/180*PI())</f>
        <v>2.3593609090449976</v>
      </c>
      <c r="AH47" s="9">
        <f>-AI36*SIN((AI42)/180*PI())</f>
        <v>1.2076115345527849</v>
      </c>
      <c r="AI47" s="9">
        <f>AI36*COS((AI42)/180*PI())</f>
        <v>1.1435855552243075</v>
      </c>
      <c r="AL47" s="9">
        <f>-AM36*SIN((AM42)/180*PI())</f>
        <v>1.3358676810167667</v>
      </c>
      <c r="AM47" s="9">
        <f>AM36*COS((AM42)/180*PI())</f>
        <v>1.1483870455805736</v>
      </c>
      <c r="AP47" s="9">
        <f>-AQ36*SIN((AQ42)/180*PI())</f>
        <v>2.0695869187894216</v>
      </c>
      <c r="AQ47" s="9">
        <f>AQ36*COS((AQ42)/180*PI())</f>
        <v>-1.9728101866529661</v>
      </c>
    </row>
    <row r="48" spans="1:47" s="10" customFormat="1" x14ac:dyDescent="0.3">
      <c r="A48" t="s">
        <v>45</v>
      </c>
      <c r="B48" s="9">
        <f>B47-B18</f>
        <v>0.19255596272242903</v>
      </c>
      <c r="C48" s="9">
        <f>C47-C18</f>
        <v>-9.6570153863749425E-2</v>
      </c>
      <c r="D48" s="49"/>
      <c r="E48" s="49"/>
      <c r="F48" s="49"/>
      <c r="G48" s="49"/>
      <c r="H48" s="9">
        <f>H47-H18</f>
        <v>7.8206919973265454E-2</v>
      </c>
      <c r="I48" s="9">
        <f>I47-I18</f>
        <v>-5.7196319135818879E-2</v>
      </c>
      <c r="J48" s="49"/>
      <c r="K48" s="49"/>
      <c r="L48" s="9">
        <f>L47-L18</f>
        <v>-1.1580009298587893E-2</v>
      </c>
      <c r="M48" s="9">
        <f>M47-M18</f>
        <v>8.1941112994959764E-2</v>
      </c>
      <c r="N48" s="49"/>
      <c r="O48" s="49"/>
      <c r="P48" s="9">
        <f>P47-P18</f>
        <v>3.1637181588134854E-2</v>
      </c>
      <c r="Q48" s="9">
        <f>Q47-Q18</f>
        <v>7.8310715487893701E-3</v>
      </c>
      <c r="R48" s="49"/>
      <c r="S48" s="49"/>
      <c r="T48" s="9">
        <f>T47-T18</f>
        <v>-6.9500299561052969E-2</v>
      </c>
      <c r="U48" s="9">
        <f>U47-U18</f>
        <v>-0.7924798763438119</v>
      </c>
      <c r="V48" s="49"/>
      <c r="W48" s="49"/>
      <c r="X48" s="49"/>
      <c r="Y48" s="49"/>
      <c r="Z48" s="9">
        <f>Z47-Z18</f>
        <v>-4.0025003201460407E-2</v>
      </c>
      <c r="AA48" s="9">
        <f>AA47-AA18</f>
        <v>-1.3362520984638915E-2</v>
      </c>
      <c r="AB48" s="49"/>
      <c r="AC48" s="49"/>
      <c r="AD48" s="9">
        <f>AD47-AD18</f>
        <v>3.4969250860916623E-2</v>
      </c>
      <c r="AE48" s="9">
        <f>AE47-AE18</f>
        <v>5.8757752119086959E-2</v>
      </c>
      <c r="AF48" s="49"/>
      <c r="AG48" s="49"/>
      <c r="AH48" s="9">
        <f>AH47-AH18</f>
        <v>-0.11640120950620325</v>
      </c>
      <c r="AI48" s="9">
        <f>AI47-AI18</f>
        <v>-3.1101745111142831E-2</v>
      </c>
      <c r="AJ48" s="49"/>
      <c r="AK48" s="49"/>
      <c r="AL48" s="9">
        <f>AL47-AL18</f>
        <v>1.1854936957778506E-2</v>
      </c>
      <c r="AM48" s="9">
        <f>AM47-AM18</f>
        <v>-2.630025475487674E-2</v>
      </c>
      <c r="AN48" s="49"/>
      <c r="AO48" s="49"/>
      <c r="AP48" s="9">
        <f>AP47-AP18</f>
        <v>0.33550174605972627</v>
      </c>
      <c r="AQ48" s="9">
        <f>AQ47-AQ18</f>
        <v>5.6108149239097793E-2</v>
      </c>
      <c r="AR48" s="49"/>
      <c r="AS48" s="49"/>
      <c r="AT48" s="49"/>
      <c r="AU48" s="49"/>
    </row>
    <row r="49" spans="1:47" x14ac:dyDescent="0.3">
      <c r="A49" t="s">
        <v>46</v>
      </c>
      <c r="B49">
        <f>B48^2</f>
        <v>3.7077798779961479E-2</v>
      </c>
      <c r="C49">
        <f>C48^2</f>
        <v>9.3257946172682384E-3</v>
      </c>
      <c r="H49">
        <f>H48^2</f>
        <v>6.1163223317047474E-3</v>
      </c>
      <c r="I49">
        <f>I48^2</f>
        <v>3.271418922686441E-3</v>
      </c>
      <c r="L49">
        <f>L48^2</f>
        <v>1.3409661535538207E-4</v>
      </c>
      <c r="M49">
        <f>M48^2</f>
        <v>6.7143459988527636E-3</v>
      </c>
      <c r="P49">
        <f>P48^2</f>
        <v>1.000911258840619E-3</v>
      </c>
      <c r="Q49">
        <f>Q48^2</f>
        <v>6.1325681602258345E-5</v>
      </c>
      <c r="T49">
        <f>T48^2</f>
        <v>4.8302916390760998E-3</v>
      </c>
      <c r="U49">
        <f>U48^2</f>
        <v>0.62802435440990334</v>
      </c>
      <c r="Z49">
        <f>Z48^2</f>
        <v>1.6020008812769159E-3</v>
      </c>
      <c r="AA49">
        <f>AA48^2</f>
        <v>1.7855696706491536E-4</v>
      </c>
      <c r="AD49">
        <f>AD48^2</f>
        <v>1.2228485057737179E-3</v>
      </c>
      <c r="AE49">
        <f>AE48^2</f>
        <v>3.4524734340880682E-3</v>
      </c>
      <c r="AH49">
        <f>AH48^2</f>
        <v>1.3549241574507022E-2</v>
      </c>
      <c r="AI49">
        <f>AI48^2</f>
        <v>9.6731854895849704E-4</v>
      </c>
      <c r="AL49">
        <f>AL48^2</f>
        <v>1.405395302729027E-4</v>
      </c>
      <c r="AM49">
        <f>AM48^2</f>
        <v>6.9170340017141651E-4</v>
      </c>
      <c r="AP49">
        <f>AP48^2</f>
        <v>0.11256142160912505</v>
      </c>
      <c r="AQ49">
        <f>AQ48^2</f>
        <v>3.1481244110368703E-3</v>
      </c>
    </row>
    <row r="50" spans="1:47" s="10" customFormat="1" x14ac:dyDescent="0.3">
      <c r="A50" t="s">
        <v>47</v>
      </c>
      <c r="B50" s="9"/>
      <c r="C50" s="9">
        <f>SQRT(B49+C49)</f>
        <v>0.21541493308781942</v>
      </c>
      <c r="D50" s="49"/>
      <c r="E50" s="49"/>
      <c r="F50" s="49"/>
      <c r="G50" s="49"/>
      <c r="H50" s="9"/>
      <c r="I50" s="9">
        <f>SQRT(H49+I49)</f>
        <v>9.6890356869975394E-2</v>
      </c>
      <c r="J50" s="49"/>
      <c r="K50" s="49"/>
      <c r="L50" s="9"/>
      <c r="M50" s="9">
        <f>SQRT(L49+M49)</f>
        <v>8.2755317739757042E-2</v>
      </c>
      <c r="N50" s="49"/>
      <c r="O50" s="49"/>
      <c r="P50" s="9"/>
      <c r="Q50" s="9">
        <f>SQRT(P49+Q49)</f>
        <v>3.2591976626815337E-2</v>
      </c>
      <c r="R50" s="49"/>
      <c r="S50" s="49"/>
      <c r="T50" s="9"/>
      <c r="U50" s="9">
        <f>SQRT(T49+U49)</f>
        <v>0.79552161884450345</v>
      </c>
      <c r="V50" s="49"/>
      <c r="W50" s="49"/>
      <c r="X50" s="49"/>
      <c r="Y50" s="49"/>
      <c r="Z50" s="9"/>
      <c r="AA50" s="9">
        <f>SQRT(Z49+AA49)</f>
        <v>4.219665683844908E-2</v>
      </c>
      <c r="AB50" s="49"/>
      <c r="AC50" s="49"/>
      <c r="AD50" s="9"/>
      <c r="AE50" s="9">
        <f>SQRT(AD49+AE49)</f>
        <v>6.8376325872788649E-2</v>
      </c>
      <c r="AF50" s="49"/>
      <c r="AG50" s="49"/>
      <c r="AH50" s="9"/>
      <c r="AI50" s="9">
        <f>SQRT(AH49+AI49)</f>
        <v>0.12048468833617622</v>
      </c>
      <c r="AJ50" s="49"/>
      <c r="AK50" s="49"/>
      <c r="AL50" s="9"/>
      <c r="AM50" s="9">
        <f>SQRT(AL49+AM49)</f>
        <v>2.8848620945277768E-2</v>
      </c>
      <c r="AN50" s="49"/>
      <c r="AO50" s="49"/>
      <c r="AP50" s="9"/>
      <c r="AQ50" s="9">
        <f>SQRT(AP49+AQ49)</f>
        <v>0.34016105894144016</v>
      </c>
      <c r="AR50" s="49"/>
      <c r="AS50" s="49"/>
      <c r="AT50" s="49"/>
      <c r="AU50" s="49"/>
    </row>
    <row r="51" spans="1:47" s="10" customFormat="1" x14ac:dyDescent="0.3">
      <c r="A51" t="s">
        <v>48</v>
      </c>
      <c r="B51" s="9"/>
      <c r="C51" s="11">
        <f>C50/C36</f>
        <v>0.17971467510417455</v>
      </c>
      <c r="D51" s="49"/>
      <c r="E51" s="49"/>
      <c r="F51" s="49"/>
      <c r="G51" s="49"/>
      <c r="H51" s="9"/>
      <c r="I51" s="11">
        <f>I50/I36</f>
        <v>8.9814360468668433E-2</v>
      </c>
      <c r="J51" s="49"/>
      <c r="K51" s="49"/>
      <c r="L51" s="9"/>
      <c r="M51" s="11">
        <f>M50/M36</f>
        <v>8.3723849793229874E-2</v>
      </c>
      <c r="N51" s="49"/>
      <c r="O51" s="49"/>
      <c r="P51" s="9"/>
      <c r="Q51" s="11">
        <f>Q50/Q36</f>
        <v>3.5702977740976062E-2</v>
      </c>
      <c r="R51" s="49"/>
      <c r="S51" s="49"/>
      <c r="T51" s="9"/>
      <c r="U51" s="11">
        <f>U50/U36</f>
        <v>2.4930722339937185E-2</v>
      </c>
      <c r="V51" s="49"/>
      <c r="W51" s="49"/>
      <c r="X51" s="49"/>
      <c r="Y51" s="49"/>
      <c r="Z51" s="9"/>
      <c r="AA51" s="11">
        <f>AA50/AA36</f>
        <v>1.7569175675119356E-2</v>
      </c>
      <c r="AB51" s="49"/>
      <c r="AC51" s="49"/>
      <c r="AD51" s="9"/>
      <c r="AE51" s="11">
        <f>AE50/AE36</f>
        <v>2.8291572559226163E-2</v>
      </c>
      <c r="AF51" s="49"/>
      <c r="AG51" s="49"/>
      <c r="AH51" s="9"/>
      <c r="AI51" s="11">
        <f>AI50/AI36</f>
        <v>7.2443071780355001E-2</v>
      </c>
      <c r="AJ51" s="49"/>
      <c r="AK51" s="49"/>
      <c r="AL51" s="9"/>
      <c r="AM51" s="11">
        <f>AM50/AM36</f>
        <v>1.6376108567264926E-2</v>
      </c>
      <c r="AN51" s="49"/>
      <c r="AO51" s="49"/>
      <c r="AP51" s="9"/>
      <c r="AQ51" s="11">
        <f>AQ50/AQ36</f>
        <v>0.1189696536810002</v>
      </c>
      <c r="AR51" s="49"/>
      <c r="AS51" s="49"/>
      <c r="AT51" s="49"/>
      <c r="AU51" s="49"/>
    </row>
    <row r="52" spans="1:47" s="10" customFormat="1" x14ac:dyDescent="0.3">
      <c r="A52"/>
      <c r="B52" s="9"/>
      <c r="C52" s="12"/>
      <c r="D52" s="49"/>
      <c r="E52" s="49"/>
      <c r="F52" s="49"/>
      <c r="G52" s="49"/>
      <c r="H52" s="9"/>
      <c r="I52" s="12"/>
      <c r="J52" s="49"/>
      <c r="K52" s="49"/>
      <c r="L52" s="9"/>
      <c r="M52" s="12"/>
      <c r="N52" s="49"/>
      <c r="O52" s="49"/>
      <c r="P52" s="9"/>
      <c r="Q52" s="12"/>
      <c r="R52" s="49"/>
      <c r="S52" s="49"/>
      <c r="T52" s="9"/>
      <c r="U52" s="12"/>
      <c r="V52" s="49"/>
      <c r="W52" s="49"/>
      <c r="X52" s="49"/>
      <c r="Y52" s="49"/>
      <c r="Z52" s="9"/>
      <c r="AA52" s="12"/>
      <c r="AB52" s="49"/>
      <c r="AC52" s="49"/>
      <c r="AD52" s="9"/>
      <c r="AE52" s="12"/>
      <c r="AF52" s="49"/>
      <c r="AG52" s="49"/>
      <c r="AH52" s="9"/>
      <c r="AI52" s="12"/>
      <c r="AJ52" s="49"/>
      <c r="AK52" s="49"/>
      <c r="AL52" s="9"/>
      <c r="AM52" s="12"/>
      <c r="AN52" s="49"/>
      <c r="AO52" s="49"/>
      <c r="AP52" s="9"/>
      <c r="AQ52" s="12"/>
      <c r="AR52" s="49"/>
      <c r="AS52" s="49"/>
      <c r="AT52" s="49"/>
      <c r="AU52" s="49"/>
    </row>
    <row r="53" spans="1:47" s="10" customFormat="1" x14ac:dyDescent="0.3">
      <c r="A53" t="s">
        <v>89</v>
      </c>
      <c r="B53" s="9">
        <f>MEDIAN(B50:E50)</f>
        <v>0.21541493308781942</v>
      </c>
      <c r="C53" s="12"/>
      <c r="D53" s="49"/>
      <c r="E53" s="49"/>
      <c r="F53" s="49"/>
      <c r="G53" s="49"/>
      <c r="H53" s="9">
        <f>MEDIAN(H50:K50)</f>
        <v>9.6890356869975394E-2</v>
      </c>
      <c r="I53" s="12"/>
      <c r="J53" s="49"/>
      <c r="K53" s="49"/>
      <c r="L53" s="9">
        <f>MEDIAN(L50:S50)</f>
        <v>5.7673647183286186E-2</v>
      </c>
      <c r="M53" s="12"/>
      <c r="N53" s="49"/>
      <c r="O53" s="49"/>
      <c r="P53" s="9"/>
      <c r="Q53" s="12"/>
      <c r="R53" s="49"/>
      <c r="S53" s="49"/>
      <c r="T53" s="9"/>
      <c r="U53" s="12"/>
      <c r="V53" s="49"/>
      <c r="W53" s="49"/>
      <c r="X53" s="49"/>
      <c r="Y53" s="49"/>
      <c r="Z53" s="9">
        <f>MEDIAN(Z50:AE50)</f>
        <v>5.5286491355618861E-2</v>
      </c>
      <c r="AA53" s="12"/>
      <c r="AB53" s="49"/>
      <c r="AC53" s="49"/>
      <c r="AD53" s="9"/>
      <c r="AE53" s="12"/>
      <c r="AF53" s="49"/>
      <c r="AG53" s="49"/>
      <c r="AH53" s="9">
        <f>MEDIAN(AH50:AO50)</f>
        <v>7.4666654640726998E-2</v>
      </c>
      <c r="AI53" s="12"/>
      <c r="AJ53" s="49"/>
      <c r="AK53" s="49"/>
      <c r="AL53" s="9"/>
      <c r="AM53" s="12"/>
      <c r="AN53" s="49"/>
      <c r="AO53" s="49"/>
      <c r="AP53" s="9">
        <f>MEDIAN(AP50:AS50)</f>
        <v>0.34016105894144016</v>
      </c>
      <c r="AQ53" s="12"/>
      <c r="AR53" s="49"/>
      <c r="AS53" s="49"/>
      <c r="AT53" s="49"/>
      <c r="AU53" s="49"/>
    </row>
    <row r="54" spans="1:47" s="10" customFormat="1" x14ac:dyDescent="0.3">
      <c r="A54" t="s">
        <v>81</v>
      </c>
      <c r="B54" s="9">
        <f>AVERAGE(B50:E50)</f>
        <v>0.21541493308781942</v>
      </c>
      <c r="C54" s="12"/>
      <c r="D54" s="49"/>
      <c r="E54" s="49"/>
      <c r="F54" s="49"/>
      <c r="G54" s="49"/>
      <c r="H54" s="9">
        <f>AVERAGE(H50:K50)</f>
        <v>9.6890356869975394E-2</v>
      </c>
      <c r="I54" s="12"/>
      <c r="J54" s="49"/>
      <c r="K54" s="49"/>
      <c r="L54" s="9">
        <f>AVERAGE(L50:S50)</f>
        <v>5.7673647183286186E-2</v>
      </c>
      <c r="M54" s="12"/>
      <c r="N54" s="49"/>
      <c r="O54" s="49"/>
      <c r="P54" s="9"/>
      <c r="Q54" s="12"/>
      <c r="R54" s="49"/>
      <c r="S54" s="49"/>
      <c r="T54" s="9"/>
      <c r="U54" s="12"/>
      <c r="V54" s="49"/>
      <c r="W54" s="49"/>
      <c r="X54" s="49"/>
      <c r="Y54" s="49"/>
      <c r="Z54" s="9">
        <f>AVERAGE(Z50:AE50)</f>
        <v>5.5286491355618861E-2</v>
      </c>
      <c r="AA54" s="12"/>
      <c r="AB54" s="49"/>
      <c r="AC54" s="49"/>
      <c r="AD54" s="9"/>
      <c r="AE54" s="12"/>
      <c r="AF54" s="49"/>
      <c r="AG54" s="49"/>
      <c r="AH54" s="9">
        <f>AVERAGE(AH50:AO50)</f>
        <v>7.4666654640726998E-2</v>
      </c>
      <c r="AI54" s="12"/>
      <c r="AJ54" s="49"/>
      <c r="AK54" s="49"/>
      <c r="AL54" s="9"/>
      <c r="AM54" s="12"/>
      <c r="AN54" s="49"/>
      <c r="AO54" s="49"/>
      <c r="AP54" s="9">
        <f>AVERAGE(AP50:AS50)</f>
        <v>0.34016105894144016</v>
      </c>
      <c r="AQ54" s="12"/>
      <c r="AR54" s="49"/>
      <c r="AS54" s="49"/>
      <c r="AT54" s="49"/>
      <c r="AU54" s="49"/>
    </row>
    <row r="55" spans="1:47" s="10" customFormat="1" x14ac:dyDescent="0.3">
      <c r="A55" t="s">
        <v>82</v>
      </c>
      <c r="B55" s="9" t="e">
        <f>STDEV(B50:E50)</f>
        <v>#DIV/0!</v>
      </c>
      <c r="C55" s="12"/>
      <c r="D55" s="49"/>
      <c r="E55" s="49"/>
      <c r="F55" s="49"/>
      <c r="G55" s="49"/>
      <c r="H55" s="9" t="e">
        <f>STDEV(H50:K50)</f>
        <v>#DIV/0!</v>
      </c>
      <c r="I55" s="12"/>
      <c r="J55" s="49"/>
      <c r="K55" s="49"/>
      <c r="L55" s="9">
        <f>STDEV(L50:S50)</f>
        <v>3.5470838667935017E-2</v>
      </c>
      <c r="M55" s="12"/>
      <c r="N55" s="49"/>
      <c r="O55" s="49"/>
      <c r="P55" s="9"/>
      <c r="Q55" s="12"/>
      <c r="R55" s="49"/>
      <c r="S55" s="49"/>
      <c r="T55" s="9"/>
      <c r="U55" s="12">
        <f>11.68/12.1</f>
        <v>0.96528925619834716</v>
      </c>
      <c r="V55" s="49"/>
      <c r="W55" s="49"/>
      <c r="X55" s="49"/>
      <c r="Y55" s="49"/>
      <c r="Z55" s="9">
        <f>STDEV(Z50:AE50)</f>
        <v>1.851182150340102E-2</v>
      </c>
      <c r="AA55" s="12"/>
      <c r="AB55" s="49"/>
      <c r="AC55" s="49"/>
      <c r="AD55" s="9"/>
      <c r="AE55" s="12"/>
      <c r="AF55" s="49"/>
      <c r="AG55" s="49"/>
      <c r="AH55" s="9">
        <f>STDEV(AH50:AO50)</f>
        <v>6.4796484653371747E-2</v>
      </c>
      <c r="AI55" s="12"/>
      <c r="AJ55" s="49"/>
      <c r="AK55" s="49"/>
      <c r="AL55" s="9"/>
      <c r="AM55" s="12"/>
      <c r="AN55" s="49"/>
      <c r="AO55" s="49"/>
      <c r="AP55" s="9" t="e">
        <f>STDEV(AP50:AS50)</f>
        <v>#DIV/0!</v>
      </c>
      <c r="AQ55" s="12"/>
      <c r="AR55" s="49"/>
      <c r="AS55" s="49"/>
      <c r="AT55" s="49"/>
      <c r="AU55" s="49"/>
    </row>
    <row r="56" spans="1:47" s="10" customFormat="1" x14ac:dyDescent="0.3">
      <c r="A56" t="s">
        <v>83</v>
      </c>
      <c r="B56" s="9">
        <f>COUNT(B50:E50)</f>
        <v>1</v>
      </c>
      <c r="C56" s="12"/>
      <c r="D56" s="49"/>
      <c r="E56" s="49"/>
      <c r="F56" s="49"/>
      <c r="G56" s="49"/>
      <c r="H56" s="9">
        <f>COUNT(H50:K50)</f>
        <v>1</v>
      </c>
      <c r="I56" s="12"/>
      <c r="J56" s="49"/>
      <c r="K56" s="49"/>
      <c r="L56" s="9">
        <f>COUNT(L50:O50)</f>
        <v>1</v>
      </c>
      <c r="M56" s="12"/>
      <c r="N56" s="49"/>
      <c r="O56" s="49"/>
      <c r="P56" s="9"/>
      <c r="Q56" s="12"/>
      <c r="R56" s="49"/>
      <c r="S56" s="49"/>
      <c r="T56" s="9"/>
      <c r="U56" s="12"/>
      <c r="V56" s="49"/>
      <c r="W56" s="49"/>
      <c r="X56" s="49"/>
      <c r="Y56" s="49"/>
      <c r="Z56" s="9">
        <f>COUNT(Z50:AC50)</f>
        <v>1</v>
      </c>
      <c r="AA56" s="12"/>
      <c r="AB56" s="49"/>
      <c r="AC56" s="49"/>
      <c r="AD56" s="9"/>
      <c r="AE56" s="12"/>
      <c r="AF56" s="49"/>
      <c r="AG56" s="49"/>
      <c r="AH56" s="9">
        <f>COUNT(AH50:AK50)</f>
        <v>1</v>
      </c>
      <c r="AI56" s="12"/>
      <c r="AJ56" s="49"/>
      <c r="AK56" s="49"/>
      <c r="AL56" s="9"/>
      <c r="AM56" s="12"/>
      <c r="AN56" s="49"/>
      <c r="AO56" s="49"/>
      <c r="AP56" s="9">
        <f>COUNT(AP50:AS50)</f>
        <v>1</v>
      </c>
      <c r="AQ56" s="12"/>
      <c r="AR56" s="49"/>
      <c r="AS56" s="49"/>
      <c r="AT56" s="49"/>
      <c r="AU56" s="49"/>
    </row>
    <row r="57" spans="1:47" s="10" customFormat="1" x14ac:dyDescent="0.3">
      <c r="A57"/>
      <c r="B57" s="9"/>
      <c r="C57" s="9"/>
      <c r="D57" s="49"/>
      <c r="E57" s="49"/>
      <c r="F57" s="49"/>
      <c r="G57" s="49"/>
      <c r="H57" s="9"/>
      <c r="I57" s="9"/>
      <c r="J57" s="49"/>
      <c r="K57" s="49"/>
      <c r="L57" s="9"/>
      <c r="M57" s="9"/>
      <c r="N57" s="49"/>
      <c r="O57" s="49"/>
      <c r="P57" s="9"/>
      <c r="Q57" s="9"/>
      <c r="R57" s="49"/>
      <c r="S57" s="49"/>
      <c r="T57" s="9"/>
      <c r="U57" s="9"/>
      <c r="V57" s="49"/>
      <c r="W57" s="49"/>
      <c r="X57" s="49"/>
      <c r="Y57" s="49"/>
      <c r="Z57" s="9"/>
      <c r="AA57" s="9"/>
      <c r="AB57" s="49"/>
      <c r="AC57" s="49"/>
      <c r="AD57" s="9"/>
      <c r="AE57" s="9"/>
      <c r="AF57" s="49"/>
      <c r="AG57" s="49"/>
      <c r="AH57" s="9"/>
      <c r="AI57" s="9"/>
      <c r="AJ57" s="49"/>
      <c r="AK57" s="49"/>
      <c r="AL57" s="9"/>
      <c r="AM57" s="9"/>
      <c r="AN57" s="49"/>
      <c r="AO57" s="49"/>
      <c r="AP57" s="9"/>
      <c r="AQ57" s="9"/>
      <c r="AR57" s="49"/>
      <c r="AS57" s="49"/>
      <c r="AT57" s="49"/>
      <c r="AU57" s="49"/>
    </row>
    <row r="58" spans="1:47" s="10" customFormat="1" x14ac:dyDescent="0.3">
      <c r="B58" s="7"/>
      <c r="C58" s="7"/>
      <c r="D58" s="49"/>
      <c r="E58" s="49"/>
      <c r="F58" s="49"/>
      <c r="G58" s="49"/>
      <c r="H58" s="7"/>
      <c r="I58" s="7"/>
      <c r="J58" s="49"/>
      <c r="K58" s="49"/>
      <c r="L58" s="7"/>
      <c r="M58" s="7"/>
      <c r="N58" s="49"/>
      <c r="O58" s="49"/>
      <c r="P58" s="7"/>
      <c r="Q58" s="7"/>
      <c r="R58" s="49"/>
      <c r="S58" s="49"/>
      <c r="T58" s="7"/>
      <c r="U58" s="7"/>
      <c r="V58" s="49"/>
      <c r="W58" s="49"/>
      <c r="X58" s="49"/>
      <c r="Y58" s="49"/>
      <c r="Z58" s="7"/>
      <c r="AA58" s="7"/>
      <c r="AB58" s="49"/>
      <c r="AC58" s="49"/>
      <c r="AD58" s="7"/>
      <c r="AE58" s="7"/>
      <c r="AF58" s="49"/>
      <c r="AG58" s="49"/>
      <c r="AH58" s="7"/>
      <c r="AI58" s="7"/>
      <c r="AJ58" s="49"/>
      <c r="AK58" s="49"/>
      <c r="AL58" s="7"/>
      <c r="AM58" s="7"/>
      <c r="AN58" s="49"/>
      <c r="AO58" s="49"/>
      <c r="AP58" s="7"/>
      <c r="AQ58" s="7"/>
      <c r="AR58" s="49"/>
      <c r="AS58" s="49"/>
      <c r="AT58" s="49"/>
      <c r="AU58" s="49"/>
    </row>
    <row r="59" spans="1:47" x14ac:dyDescent="0.3">
      <c r="A59" s="7" t="s">
        <v>115</v>
      </c>
      <c r="B59" s="110">
        <f>AVERAGE(C36,I36)</f>
        <v>1.1387171710646506</v>
      </c>
      <c r="L59" s="110">
        <f>AVERAGE(M36,Q36)</f>
        <v>0.95064810287304091</v>
      </c>
      <c r="P59" s="110"/>
      <c r="T59" s="110"/>
      <c r="Z59" s="110"/>
      <c r="AD59" s="110"/>
      <c r="AH59" s="110">
        <f>AVERAGE(AI36,AM36)</f>
        <v>1.7123961490948452</v>
      </c>
      <c r="AL59" s="110"/>
      <c r="AP59" s="110">
        <f>AVERAGE(AQ36,AW36)</f>
        <v>2.8592254278013831</v>
      </c>
    </row>
    <row r="60" spans="1:47" x14ac:dyDescent="0.3">
      <c r="A60" s="10" t="s">
        <v>116</v>
      </c>
      <c r="B60">
        <f>STDEV(C36,I36)</f>
        <v>8.4757329843513307E-2</v>
      </c>
      <c r="L60">
        <f>STDEV(M36,Q36)</f>
        <v>5.3434253833177604E-2</v>
      </c>
      <c r="AH60">
        <f>STDEV(AI36,AM36)</f>
        <v>6.9625177021688481E-2</v>
      </c>
      <c r="AP60" t="e">
        <f>STDEV(AQ36,AW36)</f>
        <v>#DIV/0!</v>
      </c>
    </row>
    <row r="61" spans="1:47" x14ac:dyDescent="0.3">
      <c r="A61" s="10" t="s">
        <v>117</v>
      </c>
      <c r="B61" s="4">
        <f>AVERAGE(C42,I42)</f>
        <v>258.6486567276861</v>
      </c>
      <c r="L61" s="4">
        <f>AVERAGE(M42,Q42)</f>
        <v>1.9675930420468717</v>
      </c>
      <c r="P61" s="4"/>
      <c r="T61" s="4"/>
      <c r="Z61" s="4"/>
      <c r="AD61" s="4"/>
      <c r="AH61" s="4">
        <f>AVERAGE(AI42,AM42)</f>
        <v>312.0621797824993</v>
      </c>
      <c r="AL61" s="4"/>
      <c r="AP61" s="4">
        <f>AVERAGE(AQ42,AW42)</f>
        <v>226.37142373294543</v>
      </c>
    </row>
    <row r="62" spans="1:47" x14ac:dyDescent="0.3">
      <c r="A62" s="10" t="s">
        <v>118</v>
      </c>
      <c r="B62">
        <f>STDEV(C42,I42)</f>
        <v>0.57271386298989646</v>
      </c>
      <c r="L62">
        <f>STDEV(M42,Q42)</f>
        <v>1.7324135156418872</v>
      </c>
      <c r="AH62">
        <f>STDEV(AI42,AM42)</f>
        <v>1.9487458192945963</v>
      </c>
      <c r="AP62" t="e">
        <f>STDEV(AQ42,AW42)</f>
        <v>#DIV/0!</v>
      </c>
    </row>
    <row r="63" spans="1:47" x14ac:dyDescent="0.3">
      <c r="B63" s="280">
        <f>B59*B62/57</f>
        <v>1.1441387892866015E-2</v>
      </c>
    </row>
  </sheetData>
  <mergeCells count="43">
    <mergeCell ref="P34:Q34"/>
    <mergeCell ref="P19:Q19"/>
    <mergeCell ref="V10:W10"/>
    <mergeCell ref="N10:O10"/>
    <mergeCell ref="T19:U19"/>
    <mergeCell ref="T34:U34"/>
    <mergeCell ref="R10:S10"/>
    <mergeCell ref="B10:C10"/>
    <mergeCell ref="L19:M19"/>
    <mergeCell ref="L34:M34"/>
    <mergeCell ref="D10:E10"/>
    <mergeCell ref="F10:G10"/>
    <mergeCell ref="H10:I10"/>
    <mergeCell ref="H19:I19"/>
    <mergeCell ref="B19:C19"/>
    <mergeCell ref="B34:C34"/>
    <mergeCell ref="H34:I34"/>
    <mergeCell ref="J10:K10"/>
    <mergeCell ref="L10:M10"/>
    <mergeCell ref="Z10:AA10"/>
    <mergeCell ref="P10:Q10"/>
    <mergeCell ref="T10:U10"/>
    <mergeCell ref="AN10:AO10"/>
    <mergeCell ref="AD10:AE10"/>
    <mergeCell ref="AB10:AC10"/>
    <mergeCell ref="X10:Y10"/>
    <mergeCell ref="AH10:AI10"/>
    <mergeCell ref="AJ10:AK10"/>
    <mergeCell ref="AT10:AU10"/>
    <mergeCell ref="AP10:AQ10"/>
    <mergeCell ref="AF10:AG10"/>
    <mergeCell ref="AP19:AQ19"/>
    <mergeCell ref="AL10:AM10"/>
    <mergeCell ref="AH19:AI19"/>
    <mergeCell ref="AL19:AM19"/>
    <mergeCell ref="AR10:AS10"/>
    <mergeCell ref="Z34:AA34"/>
    <mergeCell ref="AD19:AE19"/>
    <mergeCell ref="AD34:AE34"/>
    <mergeCell ref="Z19:AA19"/>
    <mergeCell ref="AP34:AQ34"/>
    <mergeCell ref="AH34:AI34"/>
    <mergeCell ref="AL34:AM34"/>
  </mergeCells>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2"/>
  <sheetViews>
    <sheetView zoomScale="70" zoomScaleNormal="70" workbookViewId="0">
      <pane xSplit="1" ySplit="2" topLeftCell="Z16" activePane="bottomRight" state="frozenSplit"/>
      <selection pane="topRight"/>
      <selection pane="bottomLeft" activeCell="A3" sqref="A3"/>
      <selection pane="bottomRight" activeCell="AI32" sqref="AI32"/>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1" width="11.6640625" customWidth="1"/>
    <col min="12" max="13" width="9.109375" style="49" customWidth="1"/>
    <col min="14" max="17" width="11.6640625" customWidth="1"/>
    <col min="18" max="19" width="9.109375" style="49" customWidth="1"/>
    <col min="20" max="21" width="11.6640625" customWidth="1"/>
    <col min="22" max="23" width="9.109375" style="49" customWidth="1"/>
    <col min="24" max="25" width="11.6640625" customWidth="1"/>
    <col min="26" max="27" width="9.109375" style="49" customWidth="1"/>
    <col min="28" max="29" width="11.6640625" customWidth="1"/>
    <col min="30" max="31" width="9.109375" style="49" customWidth="1"/>
    <col min="32" max="33" width="11.6640625" customWidth="1"/>
  </cols>
  <sheetData>
    <row r="1" spans="1:39" s="19" customFormat="1" x14ac:dyDescent="0.3">
      <c r="A1" s="20" t="s">
        <v>39</v>
      </c>
      <c r="B1" s="20"/>
      <c r="C1" s="20"/>
      <c r="D1" s="47"/>
      <c r="E1" s="47"/>
      <c r="F1" s="20"/>
      <c r="G1" s="20"/>
      <c r="H1" s="47"/>
      <c r="I1" s="47"/>
      <c r="J1" s="20"/>
      <c r="K1" s="20"/>
      <c r="L1" s="47"/>
      <c r="M1" s="47"/>
      <c r="N1" s="20"/>
      <c r="O1" s="20"/>
      <c r="P1" s="20"/>
      <c r="Q1" s="20"/>
      <c r="R1" s="47"/>
      <c r="S1" s="47"/>
      <c r="T1" s="20"/>
      <c r="U1" s="20"/>
      <c r="V1" s="47"/>
      <c r="W1" s="47"/>
      <c r="X1" s="20"/>
      <c r="Y1" s="20"/>
      <c r="Z1" s="47"/>
      <c r="AA1" s="47"/>
      <c r="AB1" s="20"/>
      <c r="AC1" s="20"/>
      <c r="AD1" s="47"/>
      <c r="AE1" s="47"/>
      <c r="AF1" s="20"/>
      <c r="AG1" s="20"/>
    </row>
    <row r="2" spans="1:39" s="13" customFormat="1" x14ac:dyDescent="0.3">
      <c r="B2" s="27"/>
      <c r="C2" s="27" t="s">
        <v>145</v>
      </c>
      <c r="D2" s="48"/>
      <c r="E2" s="48" t="s">
        <v>146</v>
      </c>
      <c r="F2" s="27"/>
      <c r="G2" s="27" t="s">
        <v>174</v>
      </c>
      <c r="H2" s="48"/>
      <c r="I2" s="48" t="s">
        <v>175</v>
      </c>
      <c r="J2" s="27"/>
      <c r="K2" s="27" t="s">
        <v>176</v>
      </c>
      <c r="L2" s="48"/>
      <c r="M2" s="48" t="s">
        <v>177</v>
      </c>
      <c r="N2" s="27"/>
      <c r="O2" s="27" t="s">
        <v>179</v>
      </c>
      <c r="P2" s="27"/>
      <c r="Q2" s="27" t="s">
        <v>127</v>
      </c>
      <c r="R2" s="48"/>
      <c r="S2" s="48" t="s">
        <v>128</v>
      </c>
      <c r="T2" s="27"/>
      <c r="U2" s="27" t="s">
        <v>129</v>
      </c>
      <c r="V2" s="48"/>
      <c r="W2" s="48" t="s">
        <v>180</v>
      </c>
      <c r="X2" s="27"/>
      <c r="Y2" s="27" t="s">
        <v>182</v>
      </c>
      <c r="Z2" s="48"/>
      <c r="AA2" s="48" t="s">
        <v>183</v>
      </c>
      <c r="AB2" s="27"/>
      <c r="AC2" s="27" t="s">
        <v>184</v>
      </c>
      <c r="AD2" s="48"/>
      <c r="AE2" s="48" t="s">
        <v>185</v>
      </c>
      <c r="AF2" s="27"/>
      <c r="AG2" s="27" t="s">
        <v>186</v>
      </c>
      <c r="AI2" s="282" t="s">
        <v>350</v>
      </c>
      <c r="AJ2" s="48"/>
      <c r="AK2" s="48" t="s">
        <v>351</v>
      </c>
      <c r="AL2" s="48"/>
      <c r="AM2" s="48" t="s">
        <v>352</v>
      </c>
    </row>
    <row r="3" spans="1:39" s="13" customFormat="1" x14ac:dyDescent="0.3">
      <c r="B3" s="27" t="s">
        <v>61</v>
      </c>
      <c r="C3" s="27" t="s">
        <v>60</v>
      </c>
      <c r="D3" s="48"/>
      <c r="E3" s="48"/>
      <c r="F3" s="27" t="s">
        <v>61</v>
      </c>
      <c r="G3" s="27" t="s">
        <v>60</v>
      </c>
      <c r="H3" s="48"/>
      <c r="I3" s="48"/>
      <c r="J3" s="27" t="s">
        <v>61</v>
      </c>
      <c r="K3" s="27" t="s">
        <v>60</v>
      </c>
      <c r="L3" s="48"/>
      <c r="M3" s="48"/>
      <c r="N3" s="27" t="s">
        <v>61</v>
      </c>
      <c r="O3" s="27" t="s">
        <v>60</v>
      </c>
      <c r="P3" s="27" t="s">
        <v>61</v>
      </c>
      <c r="Q3" s="27" t="s">
        <v>60</v>
      </c>
      <c r="R3" s="48"/>
      <c r="S3" s="48"/>
      <c r="T3" s="27" t="s">
        <v>61</v>
      </c>
      <c r="U3" s="27" t="s">
        <v>60</v>
      </c>
      <c r="V3" s="48"/>
      <c r="W3" s="48"/>
      <c r="X3" s="27" t="s">
        <v>61</v>
      </c>
      <c r="Y3" s="27" t="s">
        <v>60</v>
      </c>
      <c r="Z3" s="48"/>
      <c r="AA3" s="48"/>
      <c r="AB3" s="27" t="s">
        <v>61</v>
      </c>
      <c r="AC3" s="27" t="s">
        <v>60</v>
      </c>
      <c r="AD3" s="48"/>
      <c r="AE3" s="48"/>
      <c r="AF3" s="27" t="s">
        <v>61</v>
      </c>
      <c r="AG3" s="27" t="s">
        <v>60</v>
      </c>
      <c r="AJ3" s="48"/>
      <c r="AK3" s="48"/>
      <c r="AL3" s="48"/>
      <c r="AM3" s="48"/>
    </row>
    <row r="4" spans="1:39" x14ac:dyDescent="0.3">
      <c r="A4" t="s">
        <v>1</v>
      </c>
      <c r="B4">
        <v>501.74099999999999</v>
      </c>
      <c r="C4">
        <f>959-488.701</f>
        <v>470.29899999999998</v>
      </c>
      <c r="D4" s="49">
        <v>1017</v>
      </c>
      <c r="E4" s="49">
        <v>267</v>
      </c>
      <c r="F4">
        <v>661</v>
      </c>
      <c r="G4">
        <v>499</v>
      </c>
      <c r="H4" s="48">
        <v>1071</v>
      </c>
      <c r="I4" s="48">
        <v>378</v>
      </c>
      <c r="J4">
        <v>505</v>
      </c>
      <c r="K4">
        <v>525</v>
      </c>
      <c r="L4" s="49">
        <v>661</v>
      </c>
      <c r="M4" s="49">
        <v>725</v>
      </c>
      <c r="N4">
        <v>674</v>
      </c>
      <c r="O4">
        <v>447</v>
      </c>
      <c r="P4">
        <v>561.75599999999997</v>
      </c>
      <c r="Q4">
        <f>959-462.006</f>
        <v>496.99400000000003</v>
      </c>
      <c r="R4" s="49">
        <v>665</v>
      </c>
      <c r="S4" s="49">
        <v>668</v>
      </c>
      <c r="T4">
        <v>870</v>
      </c>
      <c r="U4">
        <v>366</v>
      </c>
      <c r="V4" s="49">
        <v>805</v>
      </c>
      <c r="W4" s="49">
        <v>688</v>
      </c>
      <c r="X4">
        <v>680</v>
      </c>
      <c r="Y4">
        <v>497</v>
      </c>
      <c r="Z4" s="48">
        <v>548</v>
      </c>
      <c r="AA4" s="48">
        <v>661</v>
      </c>
      <c r="AB4">
        <v>944</v>
      </c>
      <c r="AC4">
        <v>516</v>
      </c>
      <c r="AD4" s="49">
        <v>934</v>
      </c>
      <c r="AE4" s="49">
        <v>462</v>
      </c>
      <c r="AF4">
        <v>480</v>
      </c>
      <c r="AG4">
        <v>477</v>
      </c>
      <c r="AH4">
        <v>678.42</v>
      </c>
      <c r="AI4">
        <f>960-690.015</f>
        <v>269.98500000000001</v>
      </c>
      <c r="AJ4" s="49">
        <v>571</v>
      </c>
      <c r="AK4" s="49">
        <v>643</v>
      </c>
      <c r="AL4" s="49">
        <v>451</v>
      </c>
      <c r="AM4" s="49">
        <v>904</v>
      </c>
    </row>
    <row r="5" spans="1:39" x14ac:dyDescent="0.3">
      <c r="A5" t="s">
        <v>2</v>
      </c>
      <c r="B5">
        <v>489.45600000000002</v>
      </c>
      <c r="C5">
        <f>959-504.97</f>
        <v>454.03</v>
      </c>
      <c r="D5" s="49">
        <v>513</v>
      </c>
      <c r="E5" s="49">
        <v>531</v>
      </c>
      <c r="F5" s="74">
        <v>665</v>
      </c>
      <c r="G5" s="74">
        <v>508</v>
      </c>
      <c r="H5" s="49">
        <v>668</v>
      </c>
      <c r="I5" s="49">
        <v>623</v>
      </c>
      <c r="J5" s="74">
        <v>495</v>
      </c>
      <c r="K5" s="74">
        <v>524</v>
      </c>
      <c r="L5" s="49">
        <v>564</v>
      </c>
      <c r="M5" s="49">
        <v>251</v>
      </c>
      <c r="N5" s="74">
        <v>673</v>
      </c>
      <c r="O5" s="74">
        <v>456</v>
      </c>
      <c r="P5" s="74">
        <v>602.10299999999995</v>
      </c>
      <c r="Q5" s="74">
        <f>959-436.966</f>
        <v>522.03399999999999</v>
      </c>
      <c r="R5" s="49">
        <v>491</v>
      </c>
      <c r="S5" s="49">
        <v>59</v>
      </c>
      <c r="T5" s="74">
        <v>877</v>
      </c>
      <c r="U5" s="74">
        <v>363</v>
      </c>
      <c r="V5" s="49">
        <v>638</v>
      </c>
      <c r="W5" s="49">
        <v>131</v>
      </c>
      <c r="X5" s="74">
        <v>673</v>
      </c>
      <c r="Y5" s="74">
        <v>487</v>
      </c>
      <c r="Z5" s="49">
        <v>407</v>
      </c>
      <c r="AA5" s="49">
        <v>119</v>
      </c>
      <c r="AB5" s="74">
        <v>939</v>
      </c>
      <c r="AC5" s="74">
        <v>526</v>
      </c>
      <c r="AD5" s="49">
        <v>452</v>
      </c>
      <c r="AE5" s="49">
        <v>718</v>
      </c>
      <c r="AF5" s="74">
        <v>474</v>
      </c>
      <c r="AG5" s="74">
        <v>474</v>
      </c>
      <c r="AH5" s="219">
        <v>556.27599999999995</v>
      </c>
      <c r="AI5" s="219">
        <f>960-422.143</f>
        <v>537.85699999999997</v>
      </c>
      <c r="AJ5" s="49">
        <v>442</v>
      </c>
      <c r="AK5" s="49">
        <v>67</v>
      </c>
      <c r="AL5" s="49">
        <v>326</v>
      </c>
      <c r="AM5" s="49">
        <v>347</v>
      </c>
    </row>
    <row r="6" spans="1:39" x14ac:dyDescent="0.3">
      <c r="A6" t="s">
        <v>4</v>
      </c>
      <c r="B6">
        <f>B5-B4</f>
        <v>-12.284999999999968</v>
      </c>
      <c r="C6">
        <f>C5-C4</f>
        <v>-16.269000000000005</v>
      </c>
      <c r="D6" s="49">
        <f>D5-D4</f>
        <v>-504</v>
      </c>
      <c r="E6" s="49">
        <f>E5-E4</f>
        <v>264</v>
      </c>
      <c r="F6" s="29">
        <f t="shared" ref="F6:M6" si="0">F5-F4</f>
        <v>4</v>
      </c>
      <c r="G6" s="74">
        <f t="shared" si="0"/>
        <v>9</v>
      </c>
      <c r="H6" s="63">
        <f t="shared" si="0"/>
        <v>-403</v>
      </c>
      <c r="I6" s="63">
        <f t="shared" si="0"/>
        <v>245</v>
      </c>
      <c r="J6" s="29">
        <f t="shared" si="0"/>
        <v>-10</v>
      </c>
      <c r="K6" s="74">
        <f t="shared" si="0"/>
        <v>-1</v>
      </c>
      <c r="L6" s="63">
        <f t="shared" si="0"/>
        <v>-97</v>
      </c>
      <c r="M6" s="63">
        <f t="shared" si="0"/>
        <v>-474</v>
      </c>
      <c r="N6" s="29">
        <f t="shared" ref="N6:AE6" si="1">N5-N4</f>
        <v>-1</v>
      </c>
      <c r="O6" s="74">
        <f t="shared" si="1"/>
        <v>9</v>
      </c>
      <c r="P6" s="29">
        <f t="shared" si="1"/>
        <v>40.34699999999998</v>
      </c>
      <c r="Q6" s="74">
        <f t="shared" si="1"/>
        <v>25.039999999999964</v>
      </c>
      <c r="R6" s="63">
        <f t="shared" si="1"/>
        <v>-174</v>
      </c>
      <c r="S6" s="63">
        <f t="shared" si="1"/>
        <v>-609</v>
      </c>
      <c r="T6" s="29">
        <f t="shared" si="1"/>
        <v>7</v>
      </c>
      <c r="U6" s="74">
        <f t="shared" si="1"/>
        <v>-3</v>
      </c>
      <c r="V6" s="63">
        <f t="shared" si="1"/>
        <v>-167</v>
      </c>
      <c r="W6" s="63">
        <f t="shared" si="1"/>
        <v>-557</v>
      </c>
      <c r="X6" s="29">
        <f t="shared" si="1"/>
        <v>-7</v>
      </c>
      <c r="Y6" s="74">
        <f t="shared" si="1"/>
        <v>-10</v>
      </c>
      <c r="Z6" s="63">
        <f t="shared" si="1"/>
        <v>-141</v>
      </c>
      <c r="AA6" s="63">
        <f t="shared" si="1"/>
        <v>-542</v>
      </c>
      <c r="AB6" s="29">
        <f t="shared" si="1"/>
        <v>-5</v>
      </c>
      <c r="AC6" s="74">
        <f t="shared" si="1"/>
        <v>10</v>
      </c>
      <c r="AD6" s="63">
        <f t="shared" si="1"/>
        <v>-482</v>
      </c>
      <c r="AE6" s="63">
        <f t="shared" si="1"/>
        <v>256</v>
      </c>
      <c r="AF6" s="29">
        <f t="shared" ref="AF6:AM6" si="2">AF5-AF4</f>
        <v>-6</v>
      </c>
      <c r="AG6" s="74">
        <f t="shared" si="2"/>
        <v>-3</v>
      </c>
      <c r="AH6" s="29">
        <f t="shared" si="2"/>
        <v>-122.14400000000001</v>
      </c>
      <c r="AI6" s="74">
        <f t="shared" si="2"/>
        <v>267.87199999999996</v>
      </c>
      <c r="AJ6" s="63">
        <f t="shared" si="2"/>
        <v>-129</v>
      </c>
      <c r="AK6" s="63">
        <f t="shared" si="2"/>
        <v>-576</v>
      </c>
      <c r="AL6" s="63">
        <f t="shared" si="2"/>
        <v>-125</v>
      </c>
      <c r="AM6" s="63">
        <f t="shared" si="2"/>
        <v>-557</v>
      </c>
    </row>
    <row r="7" spans="1:39" x14ac:dyDescent="0.3">
      <c r="A7" t="s">
        <v>5</v>
      </c>
      <c r="B7">
        <f>B6^2</f>
        <v>150.92122499999923</v>
      </c>
      <c r="C7">
        <f>C6^2</f>
        <v>264.68036100000018</v>
      </c>
      <c r="D7" s="49">
        <f>D6^2</f>
        <v>254016</v>
      </c>
      <c r="E7" s="49">
        <f>E6^2</f>
        <v>69696</v>
      </c>
      <c r="F7" s="29">
        <f t="shared" ref="F7:M7" si="3">F6^2</f>
        <v>16</v>
      </c>
      <c r="G7" s="74">
        <f t="shared" si="3"/>
        <v>81</v>
      </c>
      <c r="H7" s="63">
        <f t="shared" si="3"/>
        <v>162409</v>
      </c>
      <c r="I7" s="63">
        <f t="shared" si="3"/>
        <v>60025</v>
      </c>
      <c r="J7" s="29">
        <f t="shared" si="3"/>
        <v>100</v>
      </c>
      <c r="K7" s="74">
        <f t="shared" si="3"/>
        <v>1</v>
      </c>
      <c r="L7" s="63">
        <f t="shared" si="3"/>
        <v>9409</v>
      </c>
      <c r="M7" s="63">
        <f t="shared" si="3"/>
        <v>224676</v>
      </c>
      <c r="N7" s="29">
        <f t="shared" ref="N7:AE7" si="4">N6^2</f>
        <v>1</v>
      </c>
      <c r="O7" s="74">
        <f t="shared" si="4"/>
        <v>81</v>
      </c>
      <c r="P7" s="29">
        <f t="shared" si="4"/>
        <v>1627.8804089999983</v>
      </c>
      <c r="Q7" s="74">
        <f t="shared" si="4"/>
        <v>627.00159999999823</v>
      </c>
      <c r="R7" s="63">
        <f t="shared" si="4"/>
        <v>30276</v>
      </c>
      <c r="S7" s="63">
        <f t="shared" si="4"/>
        <v>370881</v>
      </c>
      <c r="T7" s="29">
        <f t="shared" si="4"/>
        <v>49</v>
      </c>
      <c r="U7" s="74">
        <f t="shared" si="4"/>
        <v>9</v>
      </c>
      <c r="V7" s="63">
        <f t="shared" si="4"/>
        <v>27889</v>
      </c>
      <c r="W7" s="63">
        <f t="shared" si="4"/>
        <v>310249</v>
      </c>
      <c r="X7" s="29">
        <f t="shared" si="4"/>
        <v>49</v>
      </c>
      <c r="Y7" s="74">
        <f t="shared" si="4"/>
        <v>100</v>
      </c>
      <c r="Z7" s="63">
        <f t="shared" si="4"/>
        <v>19881</v>
      </c>
      <c r="AA7" s="63">
        <f t="shared" si="4"/>
        <v>293764</v>
      </c>
      <c r="AB7" s="29">
        <f t="shared" si="4"/>
        <v>25</v>
      </c>
      <c r="AC7" s="74">
        <f t="shared" si="4"/>
        <v>100</v>
      </c>
      <c r="AD7" s="63">
        <f t="shared" si="4"/>
        <v>232324</v>
      </c>
      <c r="AE7" s="63">
        <f t="shared" si="4"/>
        <v>65536</v>
      </c>
      <c r="AF7" s="29">
        <f t="shared" ref="AF7:AM7" si="5">AF6^2</f>
        <v>36</v>
      </c>
      <c r="AG7" s="74">
        <f t="shared" si="5"/>
        <v>9</v>
      </c>
      <c r="AH7" s="29">
        <f t="shared" si="5"/>
        <v>14919.156736000001</v>
      </c>
      <c r="AI7" s="74">
        <f t="shared" si="5"/>
        <v>71755.40838399998</v>
      </c>
      <c r="AJ7" s="63">
        <f t="shared" si="5"/>
        <v>16641</v>
      </c>
      <c r="AK7" s="63">
        <f t="shared" si="5"/>
        <v>331776</v>
      </c>
      <c r="AL7" s="63">
        <f t="shared" si="5"/>
        <v>15625</v>
      </c>
      <c r="AM7" s="63">
        <f t="shared" si="5"/>
        <v>310249</v>
      </c>
    </row>
    <row r="8" spans="1:39" x14ac:dyDescent="0.3">
      <c r="A8" t="s">
        <v>6</v>
      </c>
      <c r="C8">
        <f>SQRT(SUM(B7:C7))</f>
        <v>20.386308788007685</v>
      </c>
      <c r="E8" s="49">
        <f>SQRT(SUM(D7:E7))</f>
        <v>568.9569403742255</v>
      </c>
      <c r="F8" s="29"/>
      <c r="G8" s="74">
        <f>SQRT(SUM(F7:G7))</f>
        <v>9.8488578017961039</v>
      </c>
      <c r="H8" s="63"/>
      <c r="I8" s="63">
        <f>SQRT(SUM(H7:I7))</f>
        <v>471.62909155394561</v>
      </c>
      <c r="J8" s="29"/>
      <c r="K8" s="74">
        <f>SQRT(SUM(J7:K7))</f>
        <v>10.04987562112089</v>
      </c>
      <c r="L8" s="63"/>
      <c r="M8" s="63">
        <f>SQRT(SUM(L7:M7))</f>
        <v>483.82331485781049</v>
      </c>
      <c r="N8" s="29"/>
      <c r="O8" s="74">
        <f>SQRT(SUM(N7:O7))</f>
        <v>9.0553851381374173</v>
      </c>
      <c r="P8" s="29"/>
      <c r="Q8" s="74">
        <f>SQRT(SUM(P7:Q7))</f>
        <v>47.485597911366732</v>
      </c>
      <c r="R8" s="63"/>
      <c r="S8" s="63">
        <f>SQRT(SUM(R7:S7))</f>
        <v>633.36956036740514</v>
      </c>
      <c r="T8" s="29"/>
      <c r="U8" s="74">
        <f>SQRT(SUM(T7:U7))</f>
        <v>7.6157731058639087</v>
      </c>
      <c r="V8" s="63"/>
      <c r="W8" s="63">
        <f>SQRT(SUM(V7:W7))</f>
        <v>581.49634564629901</v>
      </c>
      <c r="X8" s="29"/>
      <c r="Y8" s="74">
        <f>SQRT(SUM(X7:Y7))</f>
        <v>12.206555615733702</v>
      </c>
      <c r="Z8" s="63"/>
      <c r="AA8" s="63">
        <f>SQRT(SUM(Z7:AA7))</f>
        <v>560.04017713017697</v>
      </c>
      <c r="AB8" s="29"/>
      <c r="AC8" s="74">
        <f>SQRT(SUM(AB7:AC7))</f>
        <v>11.180339887498949</v>
      </c>
      <c r="AD8" s="63"/>
      <c r="AE8" s="63">
        <f>SQRT(SUM(AD7:AE7))</f>
        <v>545.7655174156755</v>
      </c>
      <c r="AF8" s="29"/>
      <c r="AG8" s="74">
        <f>SQRT(SUM(AF7:AG7))</f>
        <v>6.7082039324993694</v>
      </c>
      <c r="AH8" s="29"/>
      <c r="AI8" s="74">
        <f>SQRT(SUM(AH7:AI7))</f>
        <v>294.40544342793663</v>
      </c>
      <c r="AJ8" s="63"/>
      <c r="AK8" s="63">
        <f>SQRT(SUM(AJ7:AK7))</f>
        <v>590.26858293492126</v>
      </c>
      <c r="AL8" s="63"/>
      <c r="AM8" s="63">
        <f>SQRT(SUM(AL7:AM7))</f>
        <v>570.85374659364368</v>
      </c>
    </row>
    <row r="9" spans="1:39" x14ac:dyDescent="0.3">
      <c r="A9" t="s">
        <v>7</v>
      </c>
      <c r="C9">
        <f>MOD(ATAN2(C6,B6)*180/PI()+270,360)</f>
        <v>127.05707747044556</v>
      </c>
      <c r="E9" s="49">
        <f>MOD(ATAN2(E6,D6)*180/PI()+270,360)</f>
        <v>207.64597536373867</v>
      </c>
      <c r="F9" s="29"/>
      <c r="G9" s="74">
        <f>MOD(ATAN2(G6,F6)*180/PI()+270,360)</f>
        <v>293.96248897457821</v>
      </c>
      <c r="H9" s="63"/>
      <c r="I9" s="63">
        <f>MOD(ATAN2(I6,H6)*180/PI()+270,360)</f>
        <v>211.29711003325261</v>
      </c>
      <c r="J9" s="29"/>
      <c r="K9" s="74">
        <f>MOD(ATAN2(K6,J6)*180/PI()+270,360)</f>
        <v>174.28940686250036</v>
      </c>
      <c r="L9" s="63"/>
      <c r="M9" s="63">
        <f>MOD(ATAN2(M6,L6)*180/PI()+270,360)</f>
        <v>101.56540446344795</v>
      </c>
      <c r="N9" s="29"/>
      <c r="O9" s="74">
        <f>MOD(ATAN2(O6,N6)*180/PI()+270,360)</f>
        <v>263.65980825409008</v>
      </c>
      <c r="P9" s="29"/>
      <c r="Q9" s="74">
        <f>MOD(ATAN2(Q6,P6)*180/PI()+270,360)</f>
        <v>328.17559358171548</v>
      </c>
      <c r="R9" s="63"/>
      <c r="S9" s="63">
        <f>MOD(ATAN2(S6,R6)*180/PI()+270,360)</f>
        <v>105.94539590092288</v>
      </c>
      <c r="T9" s="29"/>
      <c r="U9" s="74">
        <f>MOD(ATAN2(U6,T6)*180/PI()+270,360)</f>
        <v>23.198590513648185</v>
      </c>
      <c r="V9" s="63"/>
      <c r="W9" s="63">
        <f>MOD(ATAN2(W6,V6)*180/PI()+270,360)</f>
        <v>106.68980661597433</v>
      </c>
      <c r="X9" s="29"/>
      <c r="Y9" s="74">
        <f>MOD(ATAN2(Y6,X6)*180/PI()+270,360)</f>
        <v>124.99202019855866</v>
      </c>
      <c r="Z9" s="63"/>
      <c r="AA9" s="63">
        <f>MOD(ATAN2(AA6,Z6)*180/PI()+270,360)</f>
        <v>104.58213736475469</v>
      </c>
      <c r="AB9" s="29"/>
      <c r="AC9" s="74">
        <f>MOD(ATAN2(AC6,AB6)*180/PI()+270,360)</f>
        <v>243.43494882292202</v>
      </c>
      <c r="AD9" s="63"/>
      <c r="AE9" s="63">
        <f>MOD(ATAN2(AE6,AD6)*180/PI()+270,360)</f>
        <v>207.97367991241646</v>
      </c>
      <c r="AF9" s="29"/>
      <c r="AG9" s="74">
        <f>MOD(ATAN2(AG6,AF6)*180/PI()+270,360)</f>
        <v>153.43494882292202</v>
      </c>
      <c r="AH9" s="29"/>
      <c r="AI9" s="74">
        <f>MOD(ATAN2(AI6,AH6)*180/PI()+270,360)</f>
        <v>245.48801147418266</v>
      </c>
      <c r="AJ9" s="63"/>
      <c r="AK9" s="63">
        <f>MOD(ATAN2(AK6,AJ6)*180/PI()+270,360)</f>
        <v>102.62356359770263</v>
      </c>
      <c r="AL9" s="63"/>
      <c r="AM9" s="63">
        <f>MOD(ATAN2(AM6,AL6)*180/PI()+270,360)</f>
        <v>102.64855930651444</v>
      </c>
    </row>
    <row r="10" spans="1:39" s="17" customFormat="1" ht="117" customHeight="1" x14ac:dyDescent="0.3">
      <c r="A10" s="16" t="s">
        <v>40</v>
      </c>
      <c r="B10" s="393"/>
      <c r="C10" s="393"/>
      <c r="D10" s="395"/>
      <c r="E10" s="395"/>
      <c r="F10" s="406" t="s">
        <v>181</v>
      </c>
      <c r="G10" s="406"/>
      <c r="H10" s="395"/>
      <c r="I10" s="395"/>
      <c r="J10" s="406" t="s">
        <v>181</v>
      </c>
      <c r="K10" s="406"/>
      <c r="L10" s="395"/>
      <c r="M10" s="395"/>
      <c r="N10" s="406"/>
      <c r="O10" s="406"/>
      <c r="P10" s="406"/>
      <c r="Q10" s="406"/>
      <c r="R10" s="395"/>
      <c r="S10" s="395"/>
      <c r="T10" s="406"/>
      <c r="U10" s="406"/>
      <c r="V10" s="395"/>
      <c r="W10" s="395"/>
      <c r="X10" s="406" t="s">
        <v>181</v>
      </c>
      <c r="Y10" s="406"/>
      <c r="Z10" s="395"/>
      <c r="AA10" s="395"/>
      <c r="AB10" s="406" t="s">
        <v>181</v>
      </c>
      <c r="AC10" s="406"/>
      <c r="AD10" s="395"/>
      <c r="AE10" s="395"/>
      <c r="AF10" s="406" t="s">
        <v>187</v>
      </c>
      <c r="AG10" s="406"/>
    </row>
    <row r="11" spans="1:39" s="19" customFormat="1" x14ac:dyDescent="0.3">
      <c r="A11" s="20" t="s">
        <v>37</v>
      </c>
      <c r="B11" s="20"/>
      <c r="C11" s="20"/>
      <c r="D11" s="47"/>
      <c r="E11" s="47"/>
      <c r="F11" s="20"/>
      <c r="G11" s="20"/>
      <c r="H11" s="47"/>
      <c r="I11" s="47"/>
      <c r="J11" s="20"/>
      <c r="K11" s="20"/>
      <c r="L11" s="47"/>
      <c r="M11" s="47"/>
      <c r="N11" s="20"/>
      <c r="O11" s="20"/>
      <c r="P11" s="20"/>
      <c r="Q11" s="20"/>
      <c r="R11" s="47"/>
      <c r="S11" s="47"/>
      <c r="T11" s="20"/>
      <c r="U11" s="20"/>
      <c r="V11" s="47"/>
      <c r="W11" s="47"/>
      <c r="X11" s="20"/>
      <c r="Y11" s="20"/>
      <c r="Z11" s="47"/>
      <c r="AA11" s="47"/>
      <c r="AB11" s="20"/>
      <c r="AC11" s="20"/>
      <c r="AD11" s="47"/>
      <c r="AE11" s="47"/>
      <c r="AF11" s="20"/>
      <c r="AG11" s="20"/>
    </row>
    <row r="12" spans="1:39" s="1" customFormat="1" x14ac:dyDescent="0.3">
      <c r="B12" s="1" t="s">
        <v>62</v>
      </c>
      <c r="C12" s="1" t="s">
        <v>63</v>
      </c>
      <c r="D12" s="50"/>
      <c r="E12" s="50"/>
      <c r="F12" s="1" t="s">
        <v>62</v>
      </c>
      <c r="G12" s="1" t="s">
        <v>63</v>
      </c>
      <c r="H12" s="50"/>
      <c r="I12" s="50"/>
      <c r="J12" s="1" t="s">
        <v>62</v>
      </c>
      <c r="K12" s="1" t="s">
        <v>63</v>
      </c>
      <c r="L12" s="50"/>
      <c r="M12" s="50"/>
      <c r="N12" s="1" t="s">
        <v>62</v>
      </c>
      <c r="O12" s="1" t="s">
        <v>63</v>
      </c>
      <c r="P12" s="1" t="s">
        <v>62</v>
      </c>
      <c r="Q12" s="1" t="s">
        <v>63</v>
      </c>
      <c r="R12" s="50"/>
      <c r="S12" s="50"/>
      <c r="T12" s="1" t="s">
        <v>62</v>
      </c>
      <c r="U12" s="1" t="s">
        <v>63</v>
      </c>
      <c r="V12" s="50"/>
      <c r="W12" s="50"/>
      <c r="X12" s="1" t="s">
        <v>62</v>
      </c>
      <c r="Y12" s="1" t="s">
        <v>63</v>
      </c>
      <c r="Z12" s="50"/>
      <c r="AA12" s="50"/>
      <c r="AB12" s="1" t="s">
        <v>62</v>
      </c>
      <c r="AC12" s="1" t="s">
        <v>63</v>
      </c>
      <c r="AD12" s="50"/>
      <c r="AE12" s="50"/>
      <c r="AF12" s="1" t="s">
        <v>62</v>
      </c>
      <c r="AG12" s="1" t="s">
        <v>63</v>
      </c>
    </row>
    <row r="13" spans="1:39" x14ac:dyDescent="0.3">
      <c r="A13" t="s">
        <v>18</v>
      </c>
    </row>
    <row r="14" spans="1:39" x14ac:dyDescent="0.3">
      <c r="A14" t="s">
        <v>17</v>
      </c>
    </row>
    <row r="15" spans="1:39" x14ac:dyDescent="0.3">
      <c r="A15" t="s">
        <v>14</v>
      </c>
    </row>
    <row r="16" spans="1:39" x14ac:dyDescent="0.3">
      <c r="A16" t="s">
        <v>13</v>
      </c>
      <c r="C16">
        <v>2.339</v>
      </c>
      <c r="E16" s="53">
        <f>8*15.0412*COS((54+28/60+13/3600)*PI()/180)</f>
        <v>69.926562926441619</v>
      </c>
      <c r="F16" s="41"/>
      <c r="G16">
        <v>1.175</v>
      </c>
      <c r="I16" s="53">
        <f>8*15.0412*COS((61+52/60+28/3600)*PI()/180)</f>
        <v>56.724009761423069</v>
      </c>
      <c r="J16" s="41"/>
      <c r="K16">
        <v>1.175</v>
      </c>
      <c r="M16" s="53">
        <f>8*15.0412*COS((61+52/60+28/3600)*PI()/180)</f>
        <v>56.724009761423069</v>
      </c>
      <c r="N16" s="41"/>
      <c r="O16">
        <v>1.157</v>
      </c>
      <c r="P16" s="41"/>
      <c r="Q16">
        <v>5.53</v>
      </c>
      <c r="S16" s="53">
        <f>5*15.0412*COS((2+29/60+58/3600)*PI()/180)</f>
        <v>75.134452356793631</v>
      </c>
      <c r="T16" s="41"/>
      <c r="U16">
        <v>1.1060000000000001</v>
      </c>
      <c r="V16" s="53"/>
      <c r="W16" s="53">
        <f>5*15*COS((31+36/60)*PI()/180)</f>
        <v>63.879520060728574</v>
      </c>
      <c r="X16" s="41"/>
      <c r="Y16">
        <v>1.0309999999999999</v>
      </c>
      <c r="AA16" s="53">
        <f>5*15.0412*COS((30+34/60+0/3600)*PI()/180)</f>
        <v>64.755226055102497</v>
      </c>
      <c r="AB16" s="41"/>
      <c r="AC16">
        <v>1.0309999999999999</v>
      </c>
      <c r="AE16" s="53">
        <f>5*15.0412*COS((30+34/60+0/3600)*PI()/180)</f>
        <v>64.755226055102497</v>
      </c>
      <c r="AF16" s="41"/>
      <c r="AG16" s="110">
        <v>0.79</v>
      </c>
      <c r="AI16">
        <v>34.4</v>
      </c>
      <c r="AJ16" s="49"/>
      <c r="AK16" s="53">
        <f>5*15.0412*COS((27+57/60+55/3600)*PI()/180)</f>
        <v>66.424341167053527</v>
      </c>
      <c r="AL16" s="49"/>
      <c r="AM16" s="53">
        <f>5*15.0412*COS((27+57/60+55/3600)*PI()/180)</f>
        <v>66.424341167053527</v>
      </c>
    </row>
    <row r="17" spans="1:39" x14ac:dyDescent="0.3">
      <c r="A17" t="s">
        <v>7</v>
      </c>
      <c r="C17">
        <v>7.57</v>
      </c>
      <c r="E17" s="49">
        <v>90</v>
      </c>
      <c r="F17" s="41"/>
      <c r="G17">
        <v>320.11</v>
      </c>
      <c r="I17" s="49">
        <v>-90</v>
      </c>
      <c r="J17" s="41"/>
      <c r="K17">
        <v>320.11</v>
      </c>
      <c r="M17" s="49">
        <v>-90</v>
      </c>
      <c r="N17" s="41"/>
      <c r="O17">
        <v>67.33</v>
      </c>
      <c r="P17" s="41"/>
      <c r="Q17">
        <v>133.16</v>
      </c>
      <c r="S17" s="49">
        <v>-90</v>
      </c>
      <c r="T17" s="41"/>
      <c r="U17">
        <v>189.4</v>
      </c>
      <c r="W17" s="49">
        <v>-90</v>
      </c>
      <c r="X17" s="41"/>
      <c r="Y17">
        <v>306.99</v>
      </c>
      <c r="AA17" s="49">
        <v>-90</v>
      </c>
      <c r="AB17" s="41"/>
      <c r="AC17">
        <v>306.99</v>
      </c>
      <c r="AE17" s="49">
        <v>-90</v>
      </c>
      <c r="AF17" s="41"/>
      <c r="AG17">
        <v>325.52</v>
      </c>
      <c r="AI17">
        <v>54</v>
      </c>
      <c r="AJ17" s="49"/>
      <c r="AK17" s="49">
        <v>-90</v>
      </c>
      <c r="AL17" s="49"/>
      <c r="AM17" s="49">
        <v>-90</v>
      </c>
    </row>
    <row r="18" spans="1:39" x14ac:dyDescent="0.3">
      <c r="A18" t="s">
        <v>32</v>
      </c>
      <c r="B18" s="9">
        <f>-C16*SIN((C17)/180*PI())</f>
        <v>-0.30813371523225036</v>
      </c>
      <c r="C18" s="9">
        <f>C16*COS((C17)/180*PI())</f>
        <v>2.3186148049076998</v>
      </c>
      <c r="D18" s="9">
        <f>-E16*SIN((E17)/180*PI())</f>
        <v>-69.926562926441619</v>
      </c>
      <c r="E18" s="9">
        <f>E16*COS((E17)/180*PI())</f>
        <v>4.2835210263200172E-15</v>
      </c>
      <c r="F18" s="9">
        <f>-G16*SIN((G17)/180*PI())</f>
        <v>0.7535459783107834</v>
      </c>
      <c r="G18" s="9">
        <f>G16*COS((G17)/180*PI())</f>
        <v>0.90155058569757707</v>
      </c>
      <c r="H18" s="9">
        <f>-I16*SIN((I17)/180*PI())</f>
        <v>56.724009761423069</v>
      </c>
      <c r="I18" s="9">
        <f>I16*COS((I17)/180*PI())</f>
        <v>3.4747666457714477E-15</v>
      </c>
      <c r="J18" s="9">
        <f>-K16*SIN((K17)/180*PI())</f>
        <v>0.7535459783107834</v>
      </c>
      <c r="K18" s="9">
        <f>K16*COS((K17)/180*PI())</f>
        <v>0.90155058569757707</v>
      </c>
      <c r="L18" s="9">
        <f>-M16*SIN((M17)/180*PI())</f>
        <v>56.724009761423069</v>
      </c>
      <c r="M18" s="9">
        <f>M16*COS((M17)/180*PI())</f>
        <v>3.4747666457714477E-15</v>
      </c>
      <c r="N18" s="9">
        <f>-O16*SIN((O17)/180*PI())</f>
        <v>-1.067610206516989</v>
      </c>
      <c r="O18" s="9">
        <f>O16*COS((O17)/180*PI())</f>
        <v>0.44593435272554632</v>
      </c>
      <c r="P18" s="9">
        <f>-Q16*SIN((Q17)/180*PI())</f>
        <v>-4.0338383363630443</v>
      </c>
      <c r="Q18" s="9">
        <f>Q16*COS((Q17)/180*PI())</f>
        <v>-3.782730267424288</v>
      </c>
      <c r="R18" s="9">
        <f>-S16*SIN((S17)/180*PI())</f>
        <v>75.134452356793631</v>
      </c>
      <c r="S18" s="9">
        <f>S16*COS((S17)/180*PI())</f>
        <v>4.6025429107665522E-15</v>
      </c>
      <c r="T18" s="9">
        <f>-U16*SIN((U17)/180*PI())</f>
        <v>0.1806385142392341</v>
      </c>
      <c r="U18" s="9">
        <f>U16*COS((U17)/180*PI())</f>
        <v>-1.0911488107373084</v>
      </c>
      <c r="V18" s="9">
        <f>-W16*SIN((W17)/180*PI())</f>
        <v>63.879520060728574</v>
      </c>
      <c r="W18" s="9">
        <f>W16*COS((W17)/180*PI())</f>
        <v>3.9130947651352902E-15</v>
      </c>
      <c r="X18" s="9">
        <f>-Y16*SIN((Y17)/180*PI())</f>
        <v>0.82350149098626224</v>
      </c>
      <c r="Y18" s="9">
        <f>Y16*COS((Y17)/180*PI())</f>
        <v>0.62032757019449236</v>
      </c>
      <c r="Z18" s="9">
        <f>-AA16*SIN((AA17)/180*PI())</f>
        <v>64.755226055102497</v>
      </c>
      <c r="AA18" s="9">
        <f>AA16*COS((AA17)/180*PI())</f>
        <v>3.9667382574333619E-15</v>
      </c>
      <c r="AB18" s="9">
        <f>-AC16*SIN((AC17)/180*PI())</f>
        <v>0.82350149098626224</v>
      </c>
      <c r="AC18" s="9">
        <f>AC16*COS((AC17)/180*PI())</f>
        <v>0.62032757019449236</v>
      </c>
      <c r="AD18" s="9">
        <f>-AE16*SIN((AE17)/180*PI())</f>
        <v>64.755226055102497</v>
      </c>
      <c r="AE18" s="9">
        <f>AE16*COS((AE17)/180*PI())</f>
        <v>3.9667382574333619E-15</v>
      </c>
      <c r="AF18" s="9">
        <f>-AG16*SIN((AG17)/180*PI())</f>
        <v>0.44723363721035031</v>
      </c>
      <c r="AG18" s="9">
        <f>AG16*COS((AG17)/180*PI())</f>
        <v>0.65121584267245891</v>
      </c>
      <c r="AH18" s="9">
        <f>-AI16*SIN((AI17)/180*PI())</f>
        <v>-27.830184606498189</v>
      </c>
      <c r="AI18" s="9">
        <f>AI16*COS((AI17)/180*PI())</f>
        <v>20.219812678861075</v>
      </c>
      <c r="AJ18" s="9">
        <f>-AK16*SIN((AK17)/180*PI())</f>
        <v>66.424341167053527</v>
      </c>
      <c r="AK18" s="9">
        <f>AK16*COS((AK17)/180*PI())</f>
        <v>4.0689839474569335E-15</v>
      </c>
      <c r="AL18" s="9">
        <f>-AM16*SIN((AM17)/180*PI())</f>
        <v>66.424341167053527</v>
      </c>
      <c r="AM18" s="9">
        <f>AM16*COS((AM17)/180*PI())</f>
        <v>4.0689839474569335E-15</v>
      </c>
    </row>
    <row r="19" spans="1:39" s="14" customFormat="1" ht="69" customHeight="1" x14ac:dyDescent="0.3">
      <c r="A19" s="15" t="s">
        <v>40</v>
      </c>
      <c r="B19" s="389"/>
      <c r="C19" s="389"/>
      <c r="D19" s="51"/>
      <c r="E19" s="51"/>
      <c r="F19" s="389"/>
      <c r="G19" s="389"/>
      <c r="H19" s="51"/>
      <c r="I19" s="51"/>
      <c r="J19" s="389"/>
      <c r="K19" s="389"/>
      <c r="L19" s="51"/>
      <c r="M19" s="51"/>
      <c r="N19" s="389"/>
      <c r="O19" s="389"/>
      <c r="P19" s="389"/>
      <c r="Q19" s="389"/>
      <c r="R19" s="51"/>
      <c r="S19" s="51"/>
      <c r="T19" s="389"/>
      <c r="U19" s="389"/>
      <c r="V19" s="51"/>
      <c r="W19" s="51"/>
      <c r="X19" s="389"/>
      <c r="Y19" s="389"/>
      <c r="Z19" s="51"/>
      <c r="AA19" s="51"/>
      <c r="AB19" s="389"/>
      <c r="AC19" s="389"/>
      <c r="AD19" s="51"/>
      <c r="AE19" s="51"/>
      <c r="AF19" s="389"/>
      <c r="AG19" s="389"/>
      <c r="AH19" s="398" t="s">
        <v>353</v>
      </c>
      <c r="AI19" s="398"/>
      <c r="AJ19" s="51"/>
      <c r="AK19" s="51"/>
      <c r="AL19" s="51"/>
      <c r="AM19" s="51"/>
    </row>
    <row r="20" spans="1:39" s="19" customFormat="1" x14ac:dyDescent="0.3">
      <c r="A20" s="18" t="s">
        <v>38</v>
      </c>
      <c r="D20" s="47"/>
      <c r="E20" s="47"/>
      <c r="H20" s="47"/>
      <c r="I20" s="47"/>
      <c r="L20" s="47"/>
      <c r="M20" s="47"/>
      <c r="R20" s="47"/>
      <c r="S20" s="47"/>
      <c r="V20" s="47"/>
      <c r="W20" s="47"/>
      <c r="Z20" s="47"/>
      <c r="AA20" s="47"/>
      <c r="AD20" s="47"/>
      <c r="AE20" s="47"/>
      <c r="AJ20" s="47"/>
      <c r="AK20" s="47"/>
      <c r="AL20" s="47"/>
      <c r="AM20" s="47"/>
    </row>
    <row r="21" spans="1:39" x14ac:dyDescent="0.3">
      <c r="A21" s="7" t="s">
        <v>65</v>
      </c>
      <c r="C21">
        <f>C16/C8</f>
        <v>0.11473386498373479</v>
      </c>
      <c r="E21">
        <f>E16/E8</f>
        <v>0.1229030845118932</v>
      </c>
      <c r="G21">
        <f>G16/G8</f>
        <v>0.11930317440320025</v>
      </c>
      <c r="I21">
        <f>I16/I8</f>
        <v>0.12027249967665511</v>
      </c>
      <c r="K21">
        <f>K16/K8</f>
        <v>0.11691686984967373</v>
      </c>
      <c r="M21">
        <f>M16/M8</f>
        <v>0.11724116639168894</v>
      </c>
      <c r="O21">
        <f>O16/O8</f>
        <v>0.12776927566859744</v>
      </c>
      <c r="Q21">
        <f>Q16/Q8</f>
        <v>0.1164563624179674</v>
      </c>
      <c r="S21">
        <f>S16/S8</f>
        <v>0.11862656031844919</v>
      </c>
      <c r="U21">
        <f>U16/U8</f>
        <v>0.14522491474285315</v>
      </c>
      <c r="W21">
        <f>W16/W8</f>
        <v>0.10985369132411356</v>
      </c>
      <c r="Y21">
        <f>Y16/Y8</f>
        <v>8.4462811005513075E-2</v>
      </c>
      <c r="AA21">
        <f>AA16/AA8</f>
        <v>0.11562603666567059</v>
      </c>
      <c r="AC21">
        <f>AC16/AC8</f>
        <v>9.2215443392091312E-2</v>
      </c>
      <c r="AE21">
        <f>AE16/AE8</f>
        <v>0.11865027010451906</v>
      </c>
      <c r="AG21">
        <f>AG16/AG8</f>
        <v>0.11776624681498893</v>
      </c>
      <c r="AI21">
        <f>AI16/AI8</f>
        <v>0.11684566562173736</v>
      </c>
      <c r="AJ21" s="49"/>
      <c r="AK21">
        <f>AK16/AK8</f>
        <v>0.11253240149895796</v>
      </c>
      <c r="AL21" s="49"/>
      <c r="AM21">
        <f>AM16/AM8</f>
        <v>0.11635964826965918</v>
      </c>
    </row>
    <row r="22" spans="1:39" x14ac:dyDescent="0.3">
      <c r="A22" t="s">
        <v>34</v>
      </c>
      <c r="B22">
        <f>STDEV(B21:E21)</f>
        <v>5.7765105253623807E-3</v>
      </c>
      <c r="C22">
        <f>AVERAGE(B21:E21)</f>
        <v>0.118818474747814</v>
      </c>
      <c r="AJ22" s="49"/>
      <c r="AK22" s="49"/>
      <c r="AL22" s="49"/>
      <c r="AM22" s="49"/>
    </row>
    <row r="23" spans="1:39" x14ac:dyDescent="0.3">
      <c r="A23" t="s">
        <v>35</v>
      </c>
      <c r="C23">
        <f>C21-$C22</f>
        <v>-4.0846097640792056E-3</v>
      </c>
      <c r="E23">
        <f>E21-$C22</f>
        <v>4.0846097640792056E-3</v>
      </c>
      <c r="G23">
        <f>G21-$C22</f>
        <v>4.8469965538625037E-4</v>
      </c>
      <c r="I23">
        <f>I21-$C22</f>
        <v>1.4540249288411133E-3</v>
      </c>
      <c r="K23">
        <f>K21-$C22</f>
        <v>-1.9016048981402717E-3</v>
      </c>
      <c r="M23">
        <f>M21-$C22</f>
        <v>-1.5773083561250595E-3</v>
      </c>
      <c r="O23">
        <f>O21-$C22</f>
        <v>8.9508009207834444E-3</v>
      </c>
      <c r="Q23">
        <f>Q21-$C22</f>
        <v>-2.362112329846594E-3</v>
      </c>
      <c r="S23">
        <f>S21-$C22</f>
        <v>-1.9191442936480896E-4</v>
      </c>
      <c r="U23">
        <f>U21-$C22</f>
        <v>2.6406439995039152E-2</v>
      </c>
      <c r="W23">
        <f>W21-$C22</f>
        <v>-8.9647834237004398E-3</v>
      </c>
      <c r="Y23">
        <f>Y21-$C22</f>
        <v>-3.4355663742300924E-2</v>
      </c>
      <c r="AA23">
        <f>AA21-$C22</f>
        <v>-3.192438082143409E-3</v>
      </c>
      <c r="AC23">
        <f>AC21-$C22</f>
        <v>-2.6603031355722687E-2</v>
      </c>
      <c r="AE23">
        <f>AE21-$C22</f>
        <v>-1.6820464329493634E-4</v>
      </c>
      <c r="AG23">
        <f>AG21-$C22</f>
        <v>-1.05222793282507E-3</v>
      </c>
      <c r="AI23">
        <f>AI21-$C22</f>
        <v>-1.9728091260766412E-3</v>
      </c>
      <c r="AJ23" s="49"/>
      <c r="AK23">
        <f>AK21-$C22</f>
        <v>-6.2860732488560361E-3</v>
      </c>
      <c r="AL23" s="49"/>
      <c r="AM23">
        <f>AM21-$C22</f>
        <v>-2.4588264781548186E-3</v>
      </c>
    </row>
    <row r="24" spans="1:39" x14ac:dyDescent="0.3">
      <c r="A24" s="7" t="s">
        <v>64</v>
      </c>
      <c r="C24" s="29">
        <f>MOD(C9-C17,360)</f>
        <v>119.48707747044557</v>
      </c>
      <c r="E24" s="29">
        <f>MOD(E9-E17,360)</f>
        <v>117.64597536373867</v>
      </c>
      <c r="G24" s="29">
        <f>MOD(G9-G17,360)</f>
        <v>333.85248897457819</v>
      </c>
      <c r="I24" s="29">
        <f>MOD(I9-I17,360)</f>
        <v>301.29711003325258</v>
      </c>
      <c r="K24" s="29">
        <f>MOD(K9-K17,360)</f>
        <v>214.17940686250034</v>
      </c>
      <c r="M24" s="29">
        <f>MOD(M9-M17,360)</f>
        <v>191.56540446344795</v>
      </c>
      <c r="O24" s="29">
        <f>MOD(O9-O17,360)</f>
        <v>196.3298082540901</v>
      </c>
      <c r="Q24" s="29">
        <f>MOD(Q9-Q17,360)</f>
        <v>195.01559358171548</v>
      </c>
      <c r="S24" s="29">
        <f>MOD(S9-S17,360)</f>
        <v>195.94539590092288</v>
      </c>
      <c r="U24" s="29">
        <f>MOD(U9-U17,360)</f>
        <v>193.79859051364818</v>
      </c>
      <c r="W24" s="29">
        <f>MOD(W9-W17,360)</f>
        <v>196.68980661597433</v>
      </c>
      <c r="Y24" s="29">
        <f>MOD(Y9-Y17,360)</f>
        <v>178.00202019855865</v>
      </c>
      <c r="AA24" s="29">
        <f>MOD(AA9-AA17,360)</f>
        <v>194.58213736475469</v>
      </c>
      <c r="AC24" s="29">
        <f>MOD(AC9-AC17,360)</f>
        <v>296.44494882292202</v>
      </c>
      <c r="AE24" s="29">
        <f>MOD(AE9-AE17,360)</f>
        <v>297.97367991241646</v>
      </c>
      <c r="AG24" s="29">
        <f>MOD(AG9-AG17,360)</f>
        <v>187.91494882292204</v>
      </c>
      <c r="AI24" s="29">
        <f>MOD(AI9-AI17,360)</f>
        <v>191.48801147418266</v>
      </c>
      <c r="AJ24" s="49"/>
      <c r="AK24" s="29">
        <f>MOD(AK9-AK17,360)</f>
        <v>192.62356359770263</v>
      </c>
      <c r="AL24" s="49"/>
      <c r="AM24" s="29">
        <f>MOD(AM9-AM17,360)</f>
        <v>192.64855930651444</v>
      </c>
    </row>
    <row r="25" spans="1:39" x14ac:dyDescent="0.3">
      <c r="A25" t="s">
        <v>36</v>
      </c>
      <c r="B25">
        <f>STDEV(B24:E24)</f>
        <v>1.3018557845092866</v>
      </c>
      <c r="C25">
        <f>AVERAGE(B24:E24)</f>
        <v>118.56652641709212</v>
      </c>
      <c r="F25">
        <f>STDEV(F24:I24)</f>
        <v>23.020129213509069</v>
      </c>
      <c r="G25">
        <f>AVERAGE(F24:I24)</f>
        <v>317.57479950391541</v>
      </c>
      <c r="J25">
        <f>STDEV(J24:M24)</f>
        <v>15.990514446138803</v>
      </c>
      <c r="K25">
        <f>AVERAGE(J24:M24)</f>
        <v>202.87240566297413</v>
      </c>
      <c r="N25">
        <f>STDEV(N24:Q24)</f>
        <v>0.92929010677094925</v>
      </c>
      <c r="O25">
        <f>AVERAGE(N24:Q24)</f>
        <v>195.67270091790277</v>
      </c>
      <c r="P25">
        <f>STDEV(P24:S24)</f>
        <v>0.65746952507452927</v>
      </c>
      <c r="Q25">
        <f>AVERAGE(P24:S24)</f>
        <v>195.48049474131918</v>
      </c>
      <c r="T25">
        <f>STDEV(T24:W24)</f>
        <v>2.044398511830563</v>
      </c>
      <c r="U25">
        <f>AVERAGE(T24:W24)</f>
        <v>195.24419856481126</v>
      </c>
      <c r="X25">
        <f>STDEV(X24:AA24)</f>
        <v>11.723913281084698</v>
      </c>
      <c r="Y25">
        <f>AVERAGE(X24:AA24)</f>
        <v>186.29207878165667</v>
      </c>
      <c r="AB25">
        <f>STDEV(AB24:AE24)</f>
        <v>1.0809761199922192</v>
      </c>
      <c r="AC25">
        <f>AVERAGE(AB24:AE24)</f>
        <v>297.20931436766921</v>
      </c>
      <c r="AF25" t="e">
        <f>STDEV(AF24:AG24)</f>
        <v>#DIV/0!</v>
      </c>
      <c r="AG25">
        <f>AVERAGE(AF24:AG24)</f>
        <v>187.91494882292204</v>
      </c>
      <c r="AH25" t="e">
        <f>STDEV(AH24:AI24)</f>
        <v>#DIV/0!</v>
      </c>
      <c r="AI25">
        <f>AVERAGE(AH24:AI24)</f>
        <v>191.48801147418266</v>
      </c>
      <c r="AJ25" s="49"/>
      <c r="AK25" s="49"/>
      <c r="AL25" s="49"/>
      <c r="AM25" s="49"/>
    </row>
    <row r="26" spans="1:39" x14ac:dyDescent="0.3">
      <c r="A26" t="s">
        <v>35</v>
      </c>
      <c r="C26">
        <f>C24-$C25</f>
        <v>0.92055105335344933</v>
      </c>
      <c r="E26" s="49">
        <f>E24-$C25</f>
        <v>-0.92055105335344933</v>
      </c>
      <c r="G26">
        <f>G24-$C25</f>
        <v>215.28596255748607</v>
      </c>
      <c r="I26">
        <f>I24-$C25</f>
        <v>182.73058361616046</v>
      </c>
      <c r="K26">
        <f>K24-$C25</f>
        <v>95.612880445408223</v>
      </c>
      <c r="M26">
        <f>M24-$C25</f>
        <v>72.998878046355827</v>
      </c>
      <c r="O26">
        <f>O24-$C25</f>
        <v>77.763281836997976</v>
      </c>
      <c r="Q26">
        <f>Q24-$C25</f>
        <v>76.449067164623358</v>
      </c>
      <c r="S26">
        <f>S24-$C25</f>
        <v>77.378869483830755</v>
      </c>
      <c r="U26">
        <f>U24-$C25</f>
        <v>75.232064096556059</v>
      </c>
      <c r="W26">
        <f>W24-$C25</f>
        <v>78.123280198882213</v>
      </c>
      <c r="Y26">
        <f>Y24-$C25</f>
        <v>59.435493781466533</v>
      </c>
      <c r="AA26">
        <f>AA24-$C25</f>
        <v>76.015610947662566</v>
      </c>
      <c r="AC26">
        <f>AC24-$C25</f>
        <v>177.87842240582989</v>
      </c>
      <c r="AE26">
        <f>AE24-$C25</f>
        <v>179.40715349532434</v>
      </c>
      <c r="AG26">
        <f>AG24-$C25</f>
        <v>69.348422405829922</v>
      </c>
      <c r="AI26">
        <f>AI24-$C25</f>
        <v>72.921485057090536</v>
      </c>
      <c r="AJ26" s="49"/>
      <c r="AK26">
        <f>AK24-$C25</f>
        <v>74.057037180610507</v>
      </c>
      <c r="AL26" s="49"/>
      <c r="AM26">
        <f>AM24-$C25</f>
        <v>74.082032889422322</v>
      </c>
    </row>
    <row r="27" spans="1:39" x14ac:dyDescent="0.3">
      <c r="A27" t="s">
        <v>67</v>
      </c>
      <c r="C27">
        <f>SQRT(C16)</f>
        <v>1.5293789589241771</v>
      </c>
      <c r="E27" s="49">
        <f>SQRT(E16)</f>
        <v>8.3622104091227953</v>
      </c>
      <c r="G27">
        <f>SQRT(G16)</f>
        <v>1.08397416943394</v>
      </c>
      <c r="I27" s="49">
        <f>SQRT(I16)</f>
        <v>7.5315343563860262</v>
      </c>
      <c r="K27">
        <f>SQRT(K16)</f>
        <v>1.08397416943394</v>
      </c>
      <c r="M27" s="49">
        <f>SQRT(M16)</f>
        <v>7.5315343563860262</v>
      </c>
      <c r="O27">
        <f>SQRT(O16)</f>
        <v>1.0756393447619885</v>
      </c>
      <c r="Q27">
        <f>SQRT(Q16)</f>
        <v>2.3515952032609695</v>
      </c>
      <c r="S27" s="49">
        <f>SQRT(S16)</f>
        <v>8.66801317239387</v>
      </c>
      <c r="U27">
        <f>SQRT(U16)</f>
        <v>1.0516653460107925</v>
      </c>
      <c r="W27" s="49">
        <f>SQRT(W16)</f>
        <v>7.9924664566533261</v>
      </c>
      <c r="Y27">
        <f>SQRT(Y16)</f>
        <v>1.0153817016275208</v>
      </c>
      <c r="AA27" s="49">
        <f>SQRT(AA16)</f>
        <v>8.0470631944270519</v>
      </c>
      <c r="AC27">
        <f>SQRT(AC16)</f>
        <v>1.0153817016275208</v>
      </c>
      <c r="AE27" s="49">
        <f>SQRT(AE16)</f>
        <v>8.0470631944270519</v>
      </c>
      <c r="AG27">
        <f>SQRT(AG16)</f>
        <v>0.88881944173155891</v>
      </c>
      <c r="AI27">
        <f>SQRT(AI16)</f>
        <v>5.8651513194460723</v>
      </c>
      <c r="AJ27" s="49"/>
      <c r="AK27" s="49">
        <f>SQRT(AK16)</f>
        <v>8.1501129542512185</v>
      </c>
      <c r="AL27" s="49"/>
      <c r="AM27" s="49">
        <f>SQRT(AM16)</f>
        <v>8.1501129542512185</v>
      </c>
    </row>
    <row r="28" spans="1:39" x14ac:dyDescent="0.3">
      <c r="A28" s="10" t="s">
        <v>68</v>
      </c>
      <c r="C28">
        <f>C27*C21</f>
        <v>0.1754715589821714</v>
      </c>
      <c r="E28">
        <f>E27*E21</f>
        <v>1.0277414526186519</v>
      </c>
      <c r="G28">
        <f>G27*G21</f>
        <v>0.12932155938454148</v>
      </c>
      <c r="I28">
        <f>I27*I21</f>
        <v>0.90583646344315516</v>
      </c>
      <c r="K28">
        <f>K27*K21</f>
        <v>0.12673486688811614</v>
      </c>
      <c r="M28">
        <f>M27*M21</f>
        <v>0.88300587266177599</v>
      </c>
      <c r="O28">
        <f>O27*O21</f>
        <v>0.13743365996088402</v>
      </c>
      <c r="Q28">
        <f>Q27*Q21</f>
        <v>0.2738582232513132</v>
      </c>
      <c r="S28">
        <f>S27*S21</f>
        <v>1.0282565874360936</v>
      </c>
      <c r="U28">
        <f>U27*U21</f>
        <v>0.15272801021243052</v>
      </c>
      <c r="W28">
        <f>W27*W21</f>
        <v>0.8780019430475261</v>
      </c>
      <c r="Y28">
        <f>Y27*Y21</f>
        <v>8.5761992763021558E-2</v>
      </c>
      <c r="AA28">
        <f>AA27*AA21</f>
        <v>0.9304500239697906</v>
      </c>
      <c r="AC28">
        <f>AC27*AC21</f>
        <v>9.3633873827798003E-2</v>
      </c>
      <c r="AE28">
        <f>AE27*AE21</f>
        <v>0.95478622156690374</v>
      </c>
      <c r="AG28">
        <f>AG27*AG21</f>
        <v>0.10467292974891944</v>
      </c>
      <c r="AI28">
        <f>AI27*AI21</f>
        <v>0.68531750989288742</v>
      </c>
      <c r="AJ28" s="49"/>
      <c r="AK28">
        <f>AK27*AK21</f>
        <v>0.91715178322965651</v>
      </c>
      <c r="AL28" s="49"/>
      <c r="AM28">
        <f>AM27*AM21</f>
        <v>0.9483442767146647</v>
      </c>
    </row>
    <row r="29" spans="1:39" x14ac:dyDescent="0.3">
      <c r="A29" s="7" t="s">
        <v>69</v>
      </c>
      <c r="C29" s="7">
        <f>SUM(B28:E28,I28,M28,P28:S28,W28,AA28,AE28,AI28:AM28)/SUM(B27:E27,I27,M27,P27:S27,W27,AA27,AE27,AI27:AM27)</f>
        <v>0.11685104806319649</v>
      </c>
      <c r="G29" s="7">
        <f>SUM(F28:I28)/SUM(F27:I27)</f>
        <v>0.1201505424462658</v>
      </c>
      <c r="K29" s="7"/>
      <c r="O29" s="7"/>
      <c r="Q29" s="7"/>
      <c r="U29" s="7"/>
      <c r="Y29" s="7">
        <f>SUM(X28:AA28)/SUM(X27:AA27)</f>
        <v>0.11213442160351567</v>
      </c>
      <c r="AC29" s="7"/>
      <c r="AG29" s="7"/>
      <c r="AI29" s="7"/>
      <c r="AJ29" s="49"/>
      <c r="AK29" s="49"/>
      <c r="AL29" s="49"/>
      <c r="AM29" s="49"/>
    </row>
    <row r="30" spans="1:39" x14ac:dyDescent="0.3">
      <c r="A30" t="s">
        <v>72</v>
      </c>
      <c r="C30" s="7">
        <f>C21-$C$29</f>
        <v>-2.1171830794616958E-3</v>
      </c>
      <c r="E30" s="52">
        <f>E21-$C$29</f>
        <v>6.0520364486967154E-3</v>
      </c>
      <c r="G30" s="7">
        <f>G21-$C29</f>
        <v>2.4521263400037602E-3</v>
      </c>
      <c r="I30" s="7">
        <f>I21-$C29</f>
        <v>3.4214516134586231E-3</v>
      </c>
      <c r="K30" s="7">
        <f>K21-$C29</f>
        <v>6.5821786477238131E-5</v>
      </c>
      <c r="M30" s="7">
        <f>M21-$C29</f>
        <v>3.9011832849245032E-4</v>
      </c>
      <c r="O30" s="7">
        <f>O21-$C29</f>
        <v>1.0918227605400954E-2</v>
      </c>
      <c r="Q30" s="7">
        <f>Q21-$C29</f>
        <v>-3.9468564522908423E-4</v>
      </c>
      <c r="S30" s="7">
        <f>S21-$C29</f>
        <v>1.7755122552527008E-3</v>
      </c>
      <c r="U30" s="7">
        <f>U21-$C29</f>
        <v>2.8373866679656662E-2</v>
      </c>
      <c r="W30" s="7">
        <f>W21-$C29</f>
        <v>-6.99735673908293E-3</v>
      </c>
      <c r="Y30" s="7">
        <f>Y21-$C29</f>
        <v>-3.2388237057683414E-2</v>
      </c>
      <c r="AA30" s="7">
        <f>AA21-$C29</f>
        <v>-1.2250113975258992E-3</v>
      </c>
      <c r="AC30" s="7">
        <f>AC21-$C29</f>
        <v>-2.4635604671105177E-2</v>
      </c>
      <c r="AE30" s="7">
        <f>AE21-$C29</f>
        <v>1.7992220413225735E-3</v>
      </c>
      <c r="AG30" s="7">
        <f>AG21-$C29</f>
        <v>9.1519875179243981E-4</v>
      </c>
      <c r="AI30" s="7">
        <f>AI21-$C29</f>
        <v>-5.3824414591313596E-6</v>
      </c>
      <c r="AJ30" s="49"/>
      <c r="AK30" s="7">
        <f>AK21-$C29</f>
        <v>-4.3186465642385263E-3</v>
      </c>
      <c r="AL30" s="49"/>
      <c r="AM30" s="7">
        <f>AM21-$C29</f>
        <v>-4.9139979353730878E-4</v>
      </c>
    </row>
    <row r="31" spans="1:39" x14ac:dyDescent="0.3">
      <c r="A31" s="10" t="s">
        <v>119</v>
      </c>
      <c r="C31">
        <f>C27*C24</f>
        <v>182.74102214664254</v>
      </c>
      <c r="E31" s="49">
        <f>E27*E24</f>
        <v>983.7803997780594</v>
      </c>
      <c r="G31">
        <f>G27*G24</f>
        <v>361.88747444967203</v>
      </c>
      <c r="I31" s="49">
        <f>I27*I24</f>
        <v>2269.2295356952627</v>
      </c>
      <c r="K31">
        <f>K27*K24</f>
        <v>232.16494466363272</v>
      </c>
      <c r="M31" s="49">
        <f>M27*M24</f>
        <v>1442.7814252114433</v>
      </c>
      <c r="O31">
        <f>O27*O24</f>
        <v>211.18006630767633</v>
      </c>
      <c r="Q31">
        <f>Q27*Q24</f>
        <v>458.5977344278528</v>
      </c>
      <c r="S31" s="49">
        <f>S27*S24</f>
        <v>1698.4572727391312</v>
      </c>
      <c r="U31">
        <f>U27*U24</f>
        <v>203.8112617489397</v>
      </c>
      <c r="W31" s="49">
        <f>W27*W24</f>
        <v>1572.0366817438044</v>
      </c>
      <c r="Y31">
        <f>Y27*Y24</f>
        <v>180.73999416234881</v>
      </c>
      <c r="AA31" s="49">
        <f>AA27*AA24</f>
        <v>1565.8147558808662</v>
      </c>
      <c r="AC31">
        <f>AC27*AC24</f>
        <v>301.00477657470191</v>
      </c>
      <c r="AE31" s="49">
        <f>AE27*AE24</f>
        <v>2397.813032531194</v>
      </c>
      <c r="AG31">
        <f>AG27*AG24</f>
        <v>167.02245990580403</v>
      </c>
      <c r="AI31">
        <f>AI27*AI24</f>
        <v>1123.1061631559071</v>
      </c>
      <c r="AJ31" s="49"/>
      <c r="AK31" s="49">
        <f>AK27*AK24</f>
        <v>1569.9038009716696</v>
      </c>
      <c r="AL31" s="49"/>
      <c r="AM31" s="49">
        <f>AM27*AM24</f>
        <v>1570.1075188218574</v>
      </c>
    </row>
    <row r="32" spans="1:39" x14ac:dyDescent="0.3">
      <c r="A32" t="s">
        <v>120</v>
      </c>
      <c r="C32" s="7">
        <f>SUM(B31:E31)/SUM(B27:E27)</f>
        <v>117.93063566639177</v>
      </c>
      <c r="G32" s="7">
        <f>SUM(F31:I31)/SUM(F27:I27)</f>
        <v>305.39311780142691</v>
      </c>
      <c r="K32" s="7">
        <f>SUM(J31:M31)/SUM(J27:M27)</f>
        <v>194.41062182869422</v>
      </c>
      <c r="O32" s="7">
        <f>SUM(N31:Q31)/SUM(N27:Q27)</f>
        <v>195.42806053991799</v>
      </c>
      <c r="Q32" s="7">
        <f>SUM(P31:S31)/SUM(P27:S27)</f>
        <v>195.7469751767654</v>
      </c>
      <c r="U32" s="7">
        <f>SUM(T31:W31)/SUM(T27:W27)</f>
        <v>196.3536116279989</v>
      </c>
      <c r="Y32" s="7">
        <f>SUM(X31:AA31)/SUM(X27:AA27)</f>
        <v>192.72445461197731</v>
      </c>
      <c r="AC32" s="7">
        <f>SUM(AB31:AE31)/SUM(AB27:AE27)</f>
        <v>297.80239660059658</v>
      </c>
      <c r="AG32" s="7">
        <f>SUM(AF31:AG31)/SUM(AF27:AG27)</f>
        <v>187.91494882292204</v>
      </c>
      <c r="AI32" s="7">
        <f>SUM(AH31:AM31)/SUM(AH27:AM27)</f>
        <v>192.33227745720623</v>
      </c>
      <c r="AJ32" s="49"/>
      <c r="AK32" s="49"/>
      <c r="AL32" s="49"/>
      <c r="AM32" s="49"/>
    </row>
    <row r="33" spans="1:39" x14ac:dyDescent="0.3">
      <c r="A33" t="s">
        <v>121</v>
      </c>
      <c r="C33" s="7">
        <f>C24-$C$32</f>
        <v>1.5564418040538044</v>
      </c>
      <c r="E33" s="52">
        <f>E24-$C$32</f>
        <v>-0.28466030265309428</v>
      </c>
      <c r="G33" s="7">
        <f>G24-$C32</f>
        <v>215.92185330818643</v>
      </c>
      <c r="I33" s="7">
        <f>I24-$C32</f>
        <v>183.36647436686081</v>
      </c>
      <c r="K33" s="7">
        <f>K24-$C32</f>
        <v>96.248771196108578</v>
      </c>
      <c r="M33" s="7">
        <f>M24-$C32</f>
        <v>73.634768797056182</v>
      </c>
      <c r="O33" s="7">
        <f>O24-$C32</f>
        <v>78.399172587698331</v>
      </c>
      <c r="Q33" s="7">
        <f>Q24-$C32</f>
        <v>77.084957915323713</v>
      </c>
      <c r="S33" s="7">
        <f>S24-$C32</f>
        <v>78.01476023453111</v>
      </c>
      <c r="U33" s="7">
        <f>U24-$C32</f>
        <v>75.867954847256414</v>
      </c>
      <c r="W33" s="7">
        <f>W24-$C32</f>
        <v>78.759170949582568</v>
      </c>
      <c r="Y33" s="7">
        <f>Y24-$C32</f>
        <v>60.071384532166888</v>
      </c>
      <c r="AA33" s="7">
        <f>AA24-$C32</f>
        <v>76.651501698362921</v>
      </c>
      <c r="AC33" s="7">
        <f>AC24-$C32</f>
        <v>178.51431315653025</v>
      </c>
      <c r="AE33" s="7">
        <f>AE24-$C32</f>
        <v>180.04304424602469</v>
      </c>
      <c r="AG33" s="7">
        <f>AG24-$C32</f>
        <v>69.984313156530277</v>
      </c>
      <c r="AI33" s="7">
        <f>AI24-$C32</f>
        <v>73.557375807790891</v>
      </c>
      <c r="AJ33" s="49"/>
      <c r="AK33" s="7">
        <f>AK24-$C32</f>
        <v>74.692927931310862</v>
      </c>
      <c r="AL33" s="49"/>
      <c r="AM33" s="7">
        <f>AM24-$C32</f>
        <v>74.717923640122677</v>
      </c>
    </row>
    <row r="34" spans="1:39" s="14" customFormat="1" ht="75.75" customHeight="1" x14ac:dyDescent="0.3">
      <c r="A34" s="15" t="s">
        <v>40</v>
      </c>
      <c r="B34" s="391"/>
      <c r="C34" s="391"/>
      <c r="D34" s="51"/>
      <c r="E34" s="51"/>
      <c r="F34" s="391"/>
      <c r="G34" s="391"/>
      <c r="H34" s="51"/>
      <c r="I34" s="51"/>
      <c r="J34" s="391"/>
      <c r="K34" s="391"/>
      <c r="L34" s="51"/>
      <c r="M34" s="51"/>
      <c r="N34" s="391" t="s">
        <v>178</v>
      </c>
      <c r="O34" s="391"/>
      <c r="P34" s="391"/>
      <c r="Q34" s="391"/>
      <c r="R34" s="51"/>
      <c r="S34" s="51"/>
      <c r="T34" s="391"/>
      <c r="U34" s="391"/>
      <c r="V34" s="51"/>
      <c r="W34" s="51"/>
      <c r="X34" s="391"/>
      <c r="Y34" s="391"/>
      <c r="Z34" s="51"/>
      <c r="AA34" s="51"/>
      <c r="AB34" s="391"/>
      <c r="AC34" s="391"/>
      <c r="AD34" s="51"/>
      <c r="AE34" s="51"/>
      <c r="AF34" s="391"/>
      <c r="AG34" s="391"/>
    </row>
    <row r="35" spans="1:39" s="19" customFormat="1" x14ac:dyDescent="0.3">
      <c r="A35" s="20" t="s">
        <v>54</v>
      </c>
      <c r="B35" s="20"/>
      <c r="C35" s="20"/>
      <c r="D35" s="47"/>
      <c r="E35" s="47"/>
      <c r="F35" s="20"/>
      <c r="G35" s="20"/>
      <c r="H35" s="47"/>
      <c r="I35" s="47"/>
      <c r="J35" s="20"/>
      <c r="K35" s="20"/>
      <c r="L35" s="47"/>
      <c r="M35" s="47"/>
      <c r="N35" s="20"/>
      <c r="O35" s="20"/>
      <c r="P35" s="20"/>
      <c r="Q35" s="20"/>
      <c r="R35" s="47"/>
      <c r="S35" s="47"/>
      <c r="T35" s="20"/>
      <c r="U35" s="20"/>
      <c r="V35" s="47"/>
      <c r="W35" s="47"/>
      <c r="X35" s="20"/>
      <c r="Y35" s="20"/>
      <c r="Z35" s="47"/>
      <c r="AA35" s="47"/>
      <c r="AB35" s="20"/>
      <c r="AC35" s="20"/>
      <c r="AD35" s="47"/>
      <c r="AE35" s="47"/>
      <c r="AF35" s="20"/>
      <c r="AG35" s="20"/>
    </row>
    <row r="36" spans="1:39" x14ac:dyDescent="0.3">
      <c r="A36" s="7" t="s">
        <v>42</v>
      </c>
      <c r="C36" s="4">
        <f>C8*$C29</f>
        <v>2.3821615480186509</v>
      </c>
      <c r="G36" s="4">
        <f>G8*$C29</f>
        <v>1.1508493563652642</v>
      </c>
      <c r="K36" s="110">
        <f>K8*$C29</f>
        <v>1.1743384992327437</v>
      </c>
      <c r="O36" s="110">
        <f>O8*$C29</f>
        <v>1.0581312440072506</v>
      </c>
      <c r="Q36" s="110">
        <f>Q8*$C29</f>
        <v>5.5487418838507372</v>
      </c>
      <c r="U36" s="110">
        <f>U8*$C29</f>
        <v>0.88991106923170282</v>
      </c>
      <c r="Y36" s="4">
        <f>Y8*$C29</f>
        <v>1.4263488169401799</v>
      </c>
      <c r="AC36" s="110">
        <f>AC8*$C29</f>
        <v>1.3064344335570126</v>
      </c>
      <c r="AG36" s="110">
        <f>AG8*$C29</f>
        <v>0.78386066013420752</v>
      </c>
      <c r="AI36" s="110">
        <f>AI8*$C29</f>
        <v>34.401584620064497</v>
      </c>
    </row>
    <row r="37" spans="1:39" x14ac:dyDescent="0.3">
      <c r="A37" t="s">
        <v>50</v>
      </c>
      <c r="C37" s="4">
        <f>C36-C16</f>
        <v>4.3161548018650908E-2</v>
      </c>
      <c r="G37" s="4">
        <f>G36-G16</f>
        <v>-2.4150643634735847E-2</v>
      </c>
      <c r="K37" s="4">
        <f>K36-K16</f>
        <v>-6.615007672563511E-4</v>
      </c>
      <c r="O37" s="4">
        <f>O36-O16</f>
        <v>-9.8868755992749469E-2</v>
      </c>
      <c r="Q37" s="4">
        <f>Q36-Q16</f>
        <v>1.874188385073694E-2</v>
      </c>
      <c r="U37" s="4">
        <f>U36-U16</f>
        <v>-0.21608893076829727</v>
      </c>
      <c r="Y37" s="4">
        <f>Y36-Y16</f>
        <v>0.39534881694017998</v>
      </c>
      <c r="AC37" s="4">
        <f>AC36-AC16</f>
        <v>0.27543443355701269</v>
      </c>
      <c r="AG37" s="4">
        <f>AG36-AG16</f>
        <v>-6.1393398657925147E-3</v>
      </c>
      <c r="AI37" s="4">
        <f>AI36-AI16</f>
        <v>1.5846200644986652E-3</v>
      </c>
    </row>
    <row r="38" spans="1:39" x14ac:dyDescent="0.3">
      <c r="A38" t="s">
        <v>51</v>
      </c>
      <c r="C38" s="23">
        <f>C37/C16</f>
        <v>1.8452991884844339E-2</v>
      </c>
      <c r="G38" s="23">
        <f>G37/G16</f>
        <v>-2.0553739263604976E-2</v>
      </c>
      <c r="K38" s="23">
        <f>K37/K16</f>
        <v>-5.6297937638838391E-4</v>
      </c>
      <c r="O38" s="23">
        <f>O37/O16</f>
        <v>-8.5452684522687519E-2</v>
      </c>
      <c r="Q38" s="23">
        <f>Q37/Q16</f>
        <v>3.3891290869325387E-3</v>
      </c>
      <c r="U38" s="23">
        <f>U37/U16</f>
        <v>-0.19537878007983478</v>
      </c>
      <c r="Y38" s="23">
        <f>Y37/Y16</f>
        <v>0.38346151012626578</v>
      </c>
      <c r="AC38" s="23">
        <f>AC37/AC16</f>
        <v>0.26715269986131202</v>
      </c>
      <c r="AG38" s="23">
        <f>AG37/AG16</f>
        <v>-7.7713162858133091E-3</v>
      </c>
      <c r="AI38" s="23">
        <f>AI37/AI16</f>
        <v>4.606453675868213E-5</v>
      </c>
    </row>
    <row r="39" spans="1:39" x14ac:dyDescent="0.3">
      <c r="A39" s="29" t="s">
        <v>53</v>
      </c>
      <c r="B39">
        <f>AVERAGE(B37:E37)</f>
        <v>4.3161548018650908E-2</v>
      </c>
      <c r="C39" s="23">
        <f>AVERAGE(C38:E38)</f>
        <v>1.8452991884844339E-2</v>
      </c>
      <c r="F39">
        <f>AVERAGE(F37:M37)</f>
        <v>-1.2406072200996099E-2</v>
      </c>
      <c r="G39" s="23">
        <f>AVERAGE(G38:M38)</f>
        <v>-1.055835931999668E-2</v>
      </c>
      <c r="K39" s="23"/>
      <c r="O39" s="23"/>
      <c r="Q39" s="23"/>
      <c r="U39" s="23"/>
      <c r="X39">
        <f>AVERAGE(X37:AE37)</f>
        <v>0.33539162524859634</v>
      </c>
      <c r="Y39" s="23">
        <f>AVERAGE(Y38:AE38)</f>
        <v>0.3253071049937889</v>
      </c>
      <c r="AC39" s="23"/>
      <c r="AG39" s="23"/>
      <c r="AI39" s="23"/>
    </row>
    <row r="40" spans="1:39" x14ac:dyDescent="0.3">
      <c r="A40" s="29" t="s">
        <v>52</v>
      </c>
      <c r="B40" t="e">
        <f>STDEV(B37:E37)</f>
        <v>#DIV/0!</v>
      </c>
      <c r="C40" s="23" t="e">
        <f>STDEV(C38:E38)</f>
        <v>#DIV/0!</v>
      </c>
      <c r="F40">
        <f>STDEV(F37:M37)</f>
        <v>1.6609332205854376E-2</v>
      </c>
      <c r="G40" s="23">
        <f>STDEV(G38:M38)</f>
        <v>1.4135601877322873E-2</v>
      </c>
      <c r="K40" s="23"/>
      <c r="O40" s="23"/>
      <c r="Q40" s="23"/>
      <c r="U40" s="23"/>
      <c r="X40">
        <f>STDEV(X37:AE37)</f>
        <v>8.47922736520412E-2</v>
      </c>
      <c r="Y40" s="23">
        <f>STDEV(Y38:AE38)</f>
        <v>8.2242748450088221E-2</v>
      </c>
      <c r="AC40" s="23"/>
      <c r="AG40" s="23"/>
      <c r="AI40" s="23"/>
    </row>
    <row r="41" spans="1:39" x14ac:dyDescent="0.3">
      <c r="C41" s="23"/>
      <c r="G41" s="23"/>
      <c r="K41" s="23"/>
      <c r="O41" s="23"/>
      <c r="Q41" s="23"/>
      <c r="U41" s="23"/>
      <c r="Y41" s="23"/>
      <c r="AC41" s="23"/>
      <c r="AG41" s="23"/>
      <c r="AI41" s="23"/>
    </row>
    <row r="42" spans="1:39" x14ac:dyDescent="0.3">
      <c r="A42" s="7" t="s">
        <v>43</v>
      </c>
      <c r="C42" s="4">
        <f>MOD(C9-$C32,360)</f>
        <v>9.1264418040537976</v>
      </c>
      <c r="E42" s="4">
        <f>MOD(E9-$C32,360)</f>
        <v>89.715339697346906</v>
      </c>
      <c r="G42" s="4">
        <f>MOD(G9-$I24,360)</f>
        <v>352.66537894132563</v>
      </c>
      <c r="I42" s="4">
        <f>MOD(I9-$M24,360)</f>
        <v>19.73170556980466</v>
      </c>
      <c r="K42" s="4">
        <f>MOD(K9-$M24,360)</f>
        <v>342.72400239905244</v>
      </c>
      <c r="M42" s="4"/>
      <c r="O42" s="4">
        <f>MOD(O9-$M24,360)</f>
        <v>72.094403790642133</v>
      </c>
      <c r="Q42" s="4">
        <f>MOD(Q9-$S24,360)</f>
        <v>132.2301976807926</v>
      </c>
      <c r="S42" s="4"/>
      <c r="U42" s="4">
        <f>MOD(U9-$W24,360)</f>
        <v>186.50878389767385</v>
      </c>
      <c r="W42" s="4"/>
      <c r="Y42" s="4">
        <f>MOD(Y9-$AA24,360)</f>
        <v>290.40988283380398</v>
      </c>
      <c r="AA42" s="4">
        <f>MOD(AA9-$M24,360)</f>
        <v>273.01673290130674</v>
      </c>
      <c r="AC42" s="4">
        <f>MOD(AC9-$AE24,360)</f>
        <v>305.46126891050557</v>
      </c>
      <c r="AE42" s="4"/>
      <c r="AG42" s="4">
        <f>MOD(AG9-$S24,360)</f>
        <v>317.48955292199912</v>
      </c>
      <c r="AI42" s="4">
        <f>MOD(AI9-$S24,360)</f>
        <v>49.542615573259781</v>
      </c>
    </row>
    <row r="43" spans="1:39" x14ac:dyDescent="0.3">
      <c r="A43" t="s">
        <v>55</v>
      </c>
      <c r="C43" s="4">
        <f>C42-C17</f>
        <v>1.5564418040537973</v>
      </c>
      <c r="E43" s="4">
        <f>E42-E17</f>
        <v>-0.28466030265309428</v>
      </c>
      <c r="G43" s="4">
        <f>G42-G17</f>
        <v>32.555378941325614</v>
      </c>
      <c r="I43" s="4">
        <f>I42-I17</f>
        <v>109.73170556980466</v>
      </c>
      <c r="K43" s="4">
        <f>K42-K17</f>
        <v>22.614002399052424</v>
      </c>
      <c r="M43" s="4"/>
      <c r="O43" s="4">
        <f>O42-O17</f>
        <v>4.7644037906421346</v>
      </c>
      <c r="Q43" s="4">
        <f>Q42-Q17</f>
        <v>-0.92980231920739698</v>
      </c>
      <c r="S43" s="4"/>
      <c r="U43" s="4">
        <f>U42-U17</f>
        <v>-2.8912161023261547</v>
      </c>
      <c r="W43" s="4"/>
      <c r="Y43" s="4">
        <f>Y42-Y17</f>
        <v>-16.580117166196032</v>
      </c>
      <c r="AA43" s="4">
        <f>AA42-AA17</f>
        <v>363.01673290130674</v>
      </c>
      <c r="AC43" s="4">
        <f>AC42-AC17</f>
        <v>-1.5287310894944426</v>
      </c>
      <c r="AE43" s="4"/>
      <c r="AG43" s="4">
        <f>AG42-AG17</f>
        <v>-8.0304470780008614</v>
      </c>
      <c r="AI43" s="4">
        <f>AI42-AI17</f>
        <v>-4.4573844267402194</v>
      </c>
    </row>
    <row r="44" spans="1:39" x14ac:dyDescent="0.3">
      <c r="A44" t="s">
        <v>56</v>
      </c>
      <c r="B44">
        <f>AVERAGE(B43:E43)</f>
        <v>0.6358907507003515</v>
      </c>
      <c r="C44" s="4"/>
      <c r="E44" s="106"/>
      <c r="F44">
        <f>AVERAGE(F43:M43)</f>
        <v>54.967028970060902</v>
      </c>
      <c r="G44" s="4"/>
      <c r="I44" s="106"/>
      <c r="K44" s="4"/>
      <c r="M44" s="106"/>
      <c r="O44" s="4"/>
      <c r="Q44" s="4"/>
      <c r="S44" s="106"/>
      <c r="U44" s="4"/>
      <c r="W44" s="106"/>
      <c r="X44">
        <f>AVERAGE(X43:AE43)</f>
        <v>114.96929488187209</v>
      </c>
      <c r="Y44" s="4"/>
      <c r="AA44" s="106"/>
      <c r="AC44" s="4"/>
      <c r="AE44" s="106"/>
      <c r="AG44" s="4"/>
      <c r="AI44" s="4"/>
    </row>
    <row r="45" spans="1:39" x14ac:dyDescent="0.3">
      <c r="A45" t="s">
        <v>57</v>
      </c>
      <c r="B45">
        <f>STDEV(B43:E43)</f>
        <v>1.3018557845092815</v>
      </c>
      <c r="C45" s="4"/>
      <c r="F45">
        <f>STDEV(F43:M43)</f>
        <v>47.687368287573875</v>
      </c>
      <c r="G45" s="4"/>
      <c r="K45" s="4"/>
      <c r="O45" s="4"/>
      <c r="Q45" s="4"/>
      <c r="U45" s="4"/>
      <c r="X45">
        <f>STDEV(X43:AE43)</f>
        <v>214.94716719861987</v>
      </c>
      <c r="Y45" s="4"/>
      <c r="AC45" s="4"/>
      <c r="AG45" s="4"/>
      <c r="AI45" s="4"/>
    </row>
    <row r="46" spans="1:39" x14ac:dyDescent="0.3">
      <c r="C46" s="4"/>
      <c r="G46" s="4"/>
      <c r="K46" s="4"/>
      <c r="O46" s="4"/>
      <c r="Q46" s="4"/>
      <c r="U46" s="4"/>
      <c r="Y46" s="4"/>
      <c r="AC46" s="4"/>
      <c r="AG46" s="4"/>
      <c r="AI46" s="4"/>
    </row>
    <row r="47" spans="1:39" x14ac:dyDescent="0.3">
      <c r="A47" t="s">
        <v>44</v>
      </c>
      <c r="B47" s="9">
        <f>-C36*SIN((C42)/180*PI())</f>
        <v>-0.37784354872876791</v>
      </c>
      <c r="C47" s="9">
        <f>C36*COS((C42)/180*PI())</f>
        <v>2.3520050794040954</v>
      </c>
      <c r="F47" s="9">
        <f>-G36*SIN((G42)/180*PI())</f>
        <v>0.14692196207228533</v>
      </c>
      <c r="G47" s="9">
        <f>G36*COS((G42)/180*PI())</f>
        <v>1.1414325114115038</v>
      </c>
      <c r="J47" s="9">
        <f>-K36*SIN((K42)/180*PI())</f>
        <v>0.3487490334211033</v>
      </c>
      <c r="K47" s="9">
        <f>K36*COS((K42)/180*PI())</f>
        <v>1.1213585610624546</v>
      </c>
      <c r="N47" s="9">
        <f>-O36*SIN((O42)/180*PI())</f>
        <v>-1.0068800002303195</v>
      </c>
      <c r="O47" s="9">
        <f>O36*COS((O42)/180*PI())</f>
        <v>0.32532198616220726</v>
      </c>
      <c r="P47" s="9">
        <f>-Q36*SIN((Q42)/180*PI())</f>
        <v>-4.108568501276384</v>
      </c>
      <c r="Q47" s="9">
        <f>Q36*COS((Q42)/180*PI())</f>
        <v>-3.7293701028349218</v>
      </c>
      <c r="T47" s="9">
        <f>-U36*SIN((U42)/180*PI())</f>
        <v>0.10087634525463535</v>
      </c>
      <c r="U47" s="9">
        <f>U36*COS((U42)/180*PI())</f>
        <v>-0.88417513769002809</v>
      </c>
      <c r="X47" s="9">
        <f>-Y36*SIN((Y42)/180*PI())</f>
        <v>1.3368052784664388</v>
      </c>
      <c r="Y47" s="9">
        <f>Y36*COS((Y42)/180*PI())</f>
        <v>0.49741591756890707</v>
      </c>
      <c r="AB47" s="9">
        <f>-AC36*SIN((AC42)/180*PI())</f>
        <v>1.0641011393025881</v>
      </c>
      <c r="AC47" s="9">
        <f>AC36*COS((AC42)/180*PI())</f>
        <v>0.75793119378896545</v>
      </c>
      <c r="AF47" s="9">
        <f>-AG36*SIN((AG42)/180*PI())</f>
        <v>0.52967395337854994</v>
      </c>
      <c r="AG47" s="9">
        <f>AG36*COS((AG42)/180*PI())</f>
        <v>0.57782613095841662</v>
      </c>
      <c r="AH47" s="9">
        <f>-AI36*SIN((AI42)/180*PI())</f>
        <v>-26.175780544030047</v>
      </c>
      <c r="AI47" s="9">
        <f>AI36*COS((AI42)/180*PI())</f>
        <v>22.322579091185592</v>
      </c>
    </row>
    <row r="48" spans="1:39" s="10" customFormat="1" x14ac:dyDescent="0.3">
      <c r="A48" t="s">
        <v>45</v>
      </c>
      <c r="B48" s="9">
        <f>B47-B18</f>
        <v>-6.9709833496517548E-2</v>
      </c>
      <c r="C48" s="9">
        <f>C47-C18</f>
        <v>3.3390274496395644E-2</v>
      </c>
      <c r="D48" s="49"/>
      <c r="E48" s="49"/>
      <c r="F48" s="9">
        <f>F47-F18</f>
        <v>-0.60662401623849804</v>
      </c>
      <c r="G48" s="9">
        <f>G47-G18</f>
        <v>0.23988192571392675</v>
      </c>
      <c r="H48" s="49"/>
      <c r="I48" s="49"/>
      <c r="J48" s="9">
        <f>J47-J18</f>
        <v>-0.4047969448896801</v>
      </c>
      <c r="K48" s="9">
        <f>K47-K18</f>
        <v>0.21980797536487751</v>
      </c>
      <c r="L48" s="49"/>
      <c r="M48" s="49"/>
      <c r="N48" s="9">
        <f>N47-N18</f>
        <v>6.0730206286669475E-2</v>
      </c>
      <c r="O48" s="9">
        <f>O47-O18</f>
        <v>-0.12061236656333907</v>
      </c>
      <c r="P48" s="9">
        <f>P47-P18</f>
        <v>-7.4730164913339614E-2</v>
      </c>
      <c r="Q48" s="9">
        <f>Q47-Q18</f>
        <v>5.336016458936621E-2</v>
      </c>
      <c r="R48" s="49"/>
      <c r="S48" s="49"/>
      <c r="T48" s="9">
        <f>T47-T18</f>
        <v>-7.9762168984598758E-2</v>
      </c>
      <c r="U48" s="9">
        <f>U47-U18</f>
        <v>0.20697367304728032</v>
      </c>
      <c r="V48" s="49"/>
      <c r="W48" s="49"/>
      <c r="X48" s="9">
        <f>X47-X18</f>
        <v>0.51330378748017658</v>
      </c>
      <c r="Y48" s="9">
        <f>Y47-Y18</f>
        <v>-0.12291165262558529</v>
      </c>
      <c r="Z48" s="49"/>
      <c r="AA48" s="49"/>
      <c r="AB48" s="9">
        <f>AB47-AB18</f>
        <v>0.24059964831632585</v>
      </c>
      <c r="AC48" s="9">
        <f>AC47-AC18</f>
        <v>0.13760362359447309</v>
      </c>
      <c r="AD48" s="49"/>
      <c r="AE48" s="49"/>
      <c r="AF48" s="9">
        <f>AF47-AF18</f>
        <v>8.2440316168199634E-2</v>
      </c>
      <c r="AG48" s="9">
        <f>AG47-AG18</f>
        <v>-7.3389711714042294E-2</v>
      </c>
      <c r="AH48" s="9">
        <f>AH47-AH18</f>
        <v>1.6544040624681422</v>
      </c>
      <c r="AI48" s="9">
        <f>AI47-AI18</f>
        <v>2.1027664123245167</v>
      </c>
    </row>
    <row r="49" spans="1:35" x14ac:dyDescent="0.3">
      <c r="A49" t="s">
        <v>46</v>
      </c>
      <c r="B49">
        <f>B48^2</f>
        <v>4.8594608861121996E-3</v>
      </c>
      <c r="C49">
        <f>C48^2</f>
        <v>1.1149104309446493E-3</v>
      </c>
      <c r="F49">
        <f>F48^2</f>
        <v>0.36799269707732551</v>
      </c>
      <c r="G49">
        <f>G48^2</f>
        <v>5.7543338284221868E-2</v>
      </c>
      <c r="J49">
        <f>J48^2</f>
        <v>0.1638605665920187</v>
      </c>
      <c r="K49">
        <f>K48^2</f>
        <v>4.8315546034006597E-2</v>
      </c>
      <c r="N49">
        <f>N48^2</f>
        <v>3.6881579556214284E-3</v>
      </c>
      <c r="O49">
        <f>O48^2</f>
        <v>1.4547342968009273E-2</v>
      </c>
      <c r="P49">
        <f>P48^2</f>
        <v>5.5845975479749347E-3</v>
      </c>
      <c r="Q49">
        <f>Q48^2</f>
        <v>2.8473071650042515E-3</v>
      </c>
      <c r="T49">
        <f>T48^2</f>
        <v>6.3620036011276882E-3</v>
      </c>
      <c r="U49">
        <f>U48^2</f>
        <v>4.2838101334682493E-2</v>
      </c>
      <c r="X49">
        <f>X48^2</f>
        <v>0.2634807782414943</v>
      </c>
      <c r="Y49">
        <f>Y48^2</f>
        <v>1.5107274351152547E-2</v>
      </c>
      <c r="AB49">
        <f>AB48^2</f>
        <v>5.7888190769939681E-2</v>
      </c>
      <c r="AC49">
        <f>AC48^2</f>
        <v>1.8934757226329431E-2</v>
      </c>
      <c r="AF49">
        <f>AF48^2</f>
        <v>6.7964057299127181E-3</v>
      </c>
      <c r="AG49">
        <f>AG48^2</f>
        <v>5.386049785470237E-3</v>
      </c>
      <c r="AH49">
        <f>AH48^2</f>
        <v>2.7370528019110925</v>
      </c>
      <c r="AI49">
        <f>AI48^2</f>
        <v>4.4216265848001193</v>
      </c>
    </row>
    <row r="50" spans="1:35" s="10" customFormat="1" x14ac:dyDescent="0.3">
      <c r="A50" t="s">
        <v>47</v>
      </c>
      <c r="B50" s="9"/>
      <c r="C50" s="9">
        <f>SQRT(B49+C49)</f>
        <v>7.729405744982501E-2</v>
      </c>
      <c r="D50" s="49"/>
      <c r="E50" s="49"/>
      <c r="F50" s="9"/>
      <c r="G50" s="9">
        <f>SQRT(F49+G49)</f>
        <v>0.6523312313246602</v>
      </c>
      <c r="H50" s="49"/>
      <c r="I50" s="49"/>
      <c r="J50" s="9"/>
      <c r="K50" s="9">
        <f>SQRT(J49+K49)</f>
        <v>0.46062578371822099</v>
      </c>
      <c r="L50" s="49"/>
      <c r="M50" s="49"/>
      <c r="N50" s="9"/>
      <c r="O50" s="9">
        <f>SQRT(N49+O49)</f>
        <v>0.13503888670909095</v>
      </c>
      <c r="P50" s="9"/>
      <c r="Q50" s="9">
        <f>SQRT(P49+Q49)</f>
        <v>9.1825403418548543E-2</v>
      </c>
      <c r="R50" s="49"/>
      <c r="S50" s="49"/>
      <c r="T50" s="9"/>
      <c r="U50" s="9">
        <f>SQRT(T49+U49)</f>
        <v>0.22181096667164629</v>
      </c>
      <c r="V50" s="49"/>
      <c r="W50" s="49"/>
      <c r="X50" s="9"/>
      <c r="Y50" s="9">
        <f>SQRT(X49+Y49)</f>
        <v>0.52781441112634164</v>
      </c>
      <c r="Z50" s="49"/>
      <c r="AA50" s="49"/>
      <c r="AB50" s="9"/>
      <c r="AC50" s="9">
        <f>SQRT(AB49+AC49)</f>
        <v>0.27716952934308836</v>
      </c>
      <c r="AD50" s="49"/>
      <c r="AE50" s="49"/>
      <c r="AF50" s="9"/>
      <c r="AG50" s="9">
        <f>SQRT(AF49+AG49)</f>
        <v>0.11037416144815305</v>
      </c>
      <c r="AH50" s="9"/>
      <c r="AI50" s="9">
        <f>SQRT(AH49+AI49)</f>
        <v>2.675570852493204</v>
      </c>
    </row>
    <row r="51" spans="1:35" s="10" customFormat="1" x14ac:dyDescent="0.3">
      <c r="A51" t="s">
        <v>48</v>
      </c>
      <c r="B51" s="9"/>
      <c r="C51" s="11">
        <f>C50/C36</f>
        <v>3.2447025901376797E-2</v>
      </c>
      <c r="D51" s="49"/>
      <c r="E51" s="49"/>
      <c r="F51" s="9"/>
      <c r="G51" s="11">
        <f>G50/G36</f>
        <v>0.56682590794065579</v>
      </c>
      <c r="H51" s="49"/>
      <c r="I51" s="49"/>
      <c r="J51" s="9"/>
      <c r="K51" s="11">
        <f>K50/K36</f>
        <v>0.39224276817899756</v>
      </c>
      <c r="L51" s="49"/>
      <c r="M51" s="49"/>
      <c r="N51" s="9"/>
      <c r="O51" s="11">
        <f>O50/O36</f>
        <v>0.12762016760575462</v>
      </c>
      <c r="P51" s="9"/>
      <c r="Q51" s="11">
        <f>Q50/Q36</f>
        <v>1.654886915641194E-2</v>
      </c>
      <c r="R51" s="49"/>
      <c r="S51" s="49"/>
      <c r="T51" s="9"/>
      <c r="U51" s="11">
        <f>U50/U36</f>
        <v>0.2492507109313124</v>
      </c>
      <c r="V51" s="49"/>
      <c r="W51" s="49"/>
      <c r="X51" s="9"/>
      <c r="Y51" s="11">
        <f>Y50/Y36</f>
        <v>0.3700458154819487</v>
      </c>
      <c r="Z51" s="49"/>
      <c r="AA51" s="49"/>
      <c r="AB51" s="9"/>
      <c r="AC51" s="11">
        <f>AC50/AC36</f>
        <v>0.21215724434669284</v>
      </c>
      <c r="AD51" s="49"/>
      <c r="AE51" s="49"/>
      <c r="AF51" s="9"/>
      <c r="AG51" s="11">
        <f>AG50/AG36</f>
        <v>0.14080839498853726</v>
      </c>
      <c r="AH51" s="9"/>
      <c r="AI51" s="11">
        <f>AI50/AI36</f>
        <v>7.7774639803443679E-2</v>
      </c>
    </row>
    <row r="52" spans="1:35" s="10" customFormat="1" x14ac:dyDescent="0.3">
      <c r="A52"/>
      <c r="B52" s="9"/>
      <c r="C52" s="12"/>
      <c r="D52" s="49"/>
      <c r="E52" s="49"/>
      <c r="F52" s="9"/>
      <c r="G52" s="12"/>
      <c r="H52" s="49"/>
      <c r="I52" s="49"/>
      <c r="J52" s="9"/>
      <c r="K52" s="12"/>
      <c r="L52" s="49"/>
      <c r="M52" s="49"/>
      <c r="N52" s="9"/>
      <c r="O52" s="12"/>
      <c r="P52" s="9"/>
      <c r="Q52" s="12"/>
      <c r="R52" s="49"/>
      <c r="S52" s="49"/>
      <c r="T52" s="9"/>
      <c r="U52" s="12"/>
      <c r="V52" s="49"/>
      <c r="W52" s="49"/>
      <c r="X52" s="9"/>
      <c r="Y52" s="12"/>
      <c r="Z52" s="49"/>
      <c r="AA52" s="49"/>
      <c r="AB52" s="9"/>
      <c r="AC52" s="12"/>
      <c r="AD52" s="49"/>
      <c r="AE52" s="49"/>
      <c r="AF52" s="9"/>
      <c r="AG52" s="12"/>
      <c r="AH52" s="9"/>
      <c r="AI52" s="12"/>
    </row>
    <row r="53" spans="1:35" s="10" customFormat="1" x14ac:dyDescent="0.3">
      <c r="A53" t="s">
        <v>89</v>
      </c>
      <c r="B53" s="9">
        <f>MEDIAN(B50:E50)</f>
        <v>7.729405744982501E-2</v>
      </c>
      <c r="C53" s="12"/>
      <c r="D53" s="49"/>
      <c r="E53" s="49"/>
      <c r="F53" s="9">
        <f>MEDIAN(F50:M50)</f>
        <v>0.55647850752144057</v>
      </c>
      <c r="G53" s="12"/>
      <c r="H53" s="49"/>
      <c r="I53" s="49"/>
      <c r="J53" s="9"/>
      <c r="K53" s="12"/>
      <c r="L53" s="49"/>
      <c r="M53" s="49"/>
      <c r="N53" s="9">
        <f>MEDIAN(N50:U50,AG50)</f>
        <v>0.12270652407862201</v>
      </c>
      <c r="O53" s="12"/>
      <c r="P53" s="9"/>
      <c r="Q53" s="12"/>
      <c r="R53" s="49"/>
      <c r="S53" s="49"/>
      <c r="T53" s="9"/>
      <c r="U53" s="12"/>
      <c r="V53" s="49"/>
      <c r="W53" s="49"/>
      <c r="X53" s="9">
        <f>MEDIAN(X50:AE50)</f>
        <v>0.402491970234715</v>
      </c>
      <c r="Y53" s="12"/>
      <c r="Z53" s="49"/>
      <c r="AA53" s="49"/>
      <c r="AB53" s="9"/>
      <c r="AC53" s="12"/>
      <c r="AD53" s="49"/>
      <c r="AE53" s="49"/>
      <c r="AF53" s="9"/>
      <c r="AG53" s="12"/>
      <c r="AH53" s="9"/>
      <c r="AI53" s="12"/>
    </row>
    <row r="54" spans="1:35" s="10" customFormat="1" x14ac:dyDescent="0.3">
      <c r="A54" t="s">
        <v>81</v>
      </c>
      <c r="B54" s="9">
        <f>AVERAGE(B50:E50)</f>
        <v>7.729405744982501E-2</v>
      </c>
      <c r="C54" s="12"/>
      <c r="D54" s="49"/>
      <c r="E54" s="49"/>
      <c r="F54" s="9">
        <f>AVERAGE(F50:M50)</f>
        <v>0.55647850752144057</v>
      </c>
      <c r="G54" s="12"/>
      <c r="H54" s="49"/>
      <c r="I54" s="49"/>
      <c r="J54" s="9"/>
      <c r="K54" s="12"/>
      <c r="L54" s="49"/>
      <c r="M54" s="49"/>
      <c r="N54" s="9">
        <f>AVERAGE(N50:U50,AG50)</f>
        <v>0.1397623545618597</v>
      </c>
      <c r="O54" s="12"/>
      <c r="P54" s="9"/>
      <c r="Q54" s="12"/>
      <c r="R54" s="49"/>
      <c r="S54" s="49"/>
      <c r="T54" s="9"/>
      <c r="U54" s="12"/>
      <c r="V54" s="49"/>
      <c r="W54" s="49"/>
      <c r="X54" s="9">
        <f>AVERAGE(X50:AE50)</f>
        <v>0.402491970234715</v>
      </c>
      <c r="Y54" s="12"/>
      <c r="Z54" s="49"/>
      <c r="AA54" s="49"/>
      <c r="AB54" s="9"/>
      <c r="AC54" s="12"/>
      <c r="AD54" s="49"/>
      <c r="AE54" s="49"/>
      <c r="AF54" s="9"/>
      <c r="AG54" s="12"/>
      <c r="AH54" s="9"/>
      <c r="AI54" s="12"/>
    </row>
    <row r="55" spans="1:35" s="10" customFormat="1" x14ac:dyDescent="0.3">
      <c r="A55" t="s">
        <v>82</v>
      </c>
      <c r="B55" s="9" t="e">
        <f>STDEV(B50:E50)</f>
        <v>#DIV/0!</v>
      </c>
      <c r="C55" s="12"/>
      <c r="D55" s="49"/>
      <c r="E55" s="49"/>
      <c r="F55" s="9">
        <f>STDEV(F50:M50)</f>
        <v>0.13555622199291611</v>
      </c>
      <c r="G55" s="12"/>
      <c r="H55" s="49"/>
      <c r="I55" s="49"/>
      <c r="J55" s="9"/>
      <c r="K55" s="12"/>
      <c r="L55" s="49"/>
      <c r="M55" s="49"/>
      <c r="N55" s="9">
        <f>STDEV(N50:U50,AG50)</f>
        <v>5.7491747457361443E-2</v>
      </c>
      <c r="O55" s="12"/>
      <c r="P55" s="9"/>
      <c r="Q55" s="12"/>
      <c r="R55" s="49"/>
      <c r="S55" s="49"/>
      <c r="T55" s="9"/>
      <c r="U55" s="12"/>
      <c r="V55" s="49"/>
      <c r="W55" s="49"/>
      <c r="X55" s="9">
        <f>STDEV(X50:AE50)</f>
        <v>0.1772326955786391</v>
      </c>
      <c r="Y55" s="12"/>
      <c r="Z55" s="49"/>
      <c r="AA55" s="49"/>
      <c r="AB55" s="9"/>
      <c r="AC55" s="12"/>
      <c r="AD55" s="49"/>
      <c r="AE55" s="49"/>
      <c r="AF55" s="9"/>
      <c r="AG55" s="12"/>
      <c r="AH55" s="9"/>
      <c r="AI55" s="12"/>
    </row>
    <row r="56" spans="1:35" s="10" customFormat="1" x14ac:dyDescent="0.3">
      <c r="A56" t="s">
        <v>83</v>
      </c>
      <c r="B56" s="9">
        <f>COUNT(B50:E50)</f>
        <v>1</v>
      </c>
      <c r="C56" s="12"/>
      <c r="D56" s="49"/>
      <c r="E56" s="49"/>
      <c r="F56" s="9">
        <f>COUNT(F50:I50)</f>
        <v>1</v>
      </c>
      <c r="G56" s="12"/>
      <c r="H56" s="49"/>
      <c r="I56" s="49"/>
      <c r="J56" s="9"/>
      <c r="K56" s="12"/>
      <c r="L56" s="49"/>
      <c r="M56" s="49"/>
      <c r="N56" s="9">
        <f>COUNT(N50:Q50)</f>
        <v>2</v>
      </c>
      <c r="O56" s="12"/>
      <c r="P56" s="9"/>
      <c r="Q56" s="12"/>
      <c r="R56" s="49"/>
      <c r="S56" s="49"/>
      <c r="T56" s="9"/>
      <c r="U56" s="12"/>
      <c r="V56" s="49"/>
      <c r="W56" s="49"/>
      <c r="X56" s="9">
        <f>COUNT(X50:AA50)</f>
        <v>1</v>
      </c>
      <c r="Y56" s="12"/>
      <c r="Z56" s="49"/>
      <c r="AA56" s="49"/>
      <c r="AB56" s="9"/>
      <c r="AC56" s="12"/>
      <c r="AD56" s="49"/>
      <c r="AE56" s="49"/>
      <c r="AF56" s="9"/>
      <c r="AG56" s="12"/>
      <c r="AH56" s="9"/>
      <c r="AI56" s="12"/>
    </row>
    <row r="57" spans="1:35" s="10" customFormat="1" x14ac:dyDescent="0.3">
      <c r="A57"/>
      <c r="B57" s="9"/>
      <c r="C57" s="9"/>
      <c r="D57" s="49"/>
      <c r="E57" s="49"/>
      <c r="F57" s="9"/>
      <c r="G57" s="9"/>
      <c r="H57" s="49"/>
      <c r="I57" s="49"/>
      <c r="J57" s="9"/>
      <c r="K57" s="9"/>
      <c r="L57" s="49"/>
      <c r="M57" s="49"/>
      <c r="N57" s="9"/>
      <c r="O57" s="9"/>
      <c r="P57" s="9"/>
      <c r="Q57" s="9"/>
      <c r="R57" s="49"/>
      <c r="S57" s="49"/>
      <c r="T57" s="9"/>
      <c r="U57" s="9"/>
      <c r="V57" s="49"/>
      <c r="W57" s="49"/>
      <c r="X57" s="9"/>
      <c r="Y57" s="9"/>
      <c r="Z57" s="49"/>
      <c r="AA57" s="49"/>
      <c r="AB57" s="9"/>
      <c r="AC57" s="9"/>
      <c r="AD57" s="49"/>
      <c r="AE57" s="49"/>
      <c r="AF57" s="9"/>
      <c r="AG57" s="9"/>
      <c r="AH57" s="9"/>
      <c r="AI57" s="9"/>
    </row>
    <row r="58" spans="1:35" s="10" customFormat="1" x14ac:dyDescent="0.3">
      <c r="B58" s="7"/>
      <c r="C58" s="7"/>
      <c r="D58" s="49"/>
      <c r="E58" s="49"/>
      <c r="F58" s="7"/>
      <c r="G58" s="7"/>
      <c r="H58" s="49"/>
      <c r="I58" s="49"/>
      <c r="J58" s="7"/>
      <c r="K58" s="7"/>
      <c r="L58" s="49"/>
      <c r="M58" s="49"/>
      <c r="N58" s="7"/>
      <c r="O58" s="7"/>
      <c r="P58" s="7"/>
      <c r="Q58" s="7"/>
      <c r="R58" s="49"/>
      <c r="S58" s="49"/>
      <c r="T58" s="7"/>
      <c r="U58" s="7"/>
      <c r="V58" s="49"/>
      <c r="W58" s="49"/>
      <c r="X58" s="7"/>
      <c r="Y58" s="7"/>
      <c r="Z58" s="49"/>
      <c r="AA58" s="49"/>
      <c r="AB58" s="7"/>
      <c r="AC58" s="7"/>
      <c r="AD58" s="49"/>
      <c r="AE58" s="49"/>
      <c r="AF58" s="7"/>
      <c r="AG58" s="7"/>
    </row>
    <row r="59" spans="1:35" x14ac:dyDescent="0.3">
      <c r="A59" s="7" t="s">
        <v>115</v>
      </c>
      <c r="B59">
        <f>AVERAGE(B36:E36)</f>
        <v>2.3821615480186509</v>
      </c>
      <c r="F59" s="110">
        <f>AVERAGE(G36,K36)</f>
        <v>1.1625939277990041</v>
      </c>
      <c r="J59" s="110"/>
      <c r="N59" s="110"/>
      <c r="P59" s="110"/>
      <c r="T59" s="110"/>
      <c r="X59" s="110">
        <f>AVERAGE(Y36,AC36)</f>
        <v>1.3663916252485961</v>
      </c>
      <c r="AB59" s="110"/>
      <c r="AF59" s="110"/>
    </row>
    <row r="60" spans="1:35" x14ac:dyDescent="0.3">
      <c r="A60" s="10" t="s">
        <v>116</v>
      </c>
      <c r="B60" t="e">
        <f>STDEV(B36:E36)</f>
        <v>#DIV/0!</v>
      </c>
      <c r="F60">
        <f>STDEV(G36,K36)</f>
        <v>1.660933220585438E-2</v>
      </c>
      <c r="X60">
        <f>STDEV(Y36,AC36)</f>
        <v>8.4792273652041047E-2</v>
      </c>
    </row>
    <row r="61" spans="1:35" x14ac:dyDescent="0.3">
      <c r="A61" s="10" t="s">
        <v>117</v>
      </c>
      <c r="B61">
        <f>AVERAGE(B42:E42)</f>
        <v>49.420890750700352</v>
      </c>
      <c r="F61" s="4">
        <f>AVERAGE(G42,K42)</f>
        <v>347.69469067018906</v>
      </c>
      <c r="J61" s="4"/>
      <c r="N61" s="4"/>
      <c r="P61" s="4"/>
      <c r="T61" s="4"/>
      <c r="X61" s="4">
        <f>AVERAGE(Y42,AC42)</f>
        <v>297.9355758721548</v>
      </c>
      <c r="AB61" s="4"/>
      <c r="AF61" s="4"/>
    </row>
    <row r="62" spans="1:35" x14ac:dyDescent="0.3">
      <c r="A62" s="10" t="s">
        <v>118</v>
      </c>
      <c r="B62">
        <f>STDEV(B42:E42)</f>
        <v>56.984956188697829</v>
      </c>
      <c r="F62">
        <f>STDEV(G42,K42)</f>
        <v>7.0296147673702443</v>
      </c>
      <c r="X62">
        <f>STDEV(Y42,AC42)</f>
        <v>10.64293716109248</v>
      </c>
    </row>
  </sheetData>
  <mergeCells count="35">
    <mergeCell ref="AH19:AI19"/>
    <mergeCell ref="AF10:AG10"/>
    <mergeCell ref="AF19:AG19"/>
    <mergeCell ref="AF34:AG34"/>
    <mergeCell ref="X34:Y34"/>
    <mergeCell ref="AB34:AC34"/>
    <mergeCell ref="X10:Y10"/>
    <mergeCell ref="Z10:AA10"/>
    <mergeCell ref="AB10:AC10"/>
    <mergeCell ref="AD10:AE10"/>
    <mergeCell ref="X19:Y19"/>
    <mergeCell ref="AB19:AC19"/>
    <mergeCell ref="V10:W10"/>
    <mergeCell ref="T19:U19"/>
    <mergeCell ref="J34:K34"/>
    <mergeCell ref="L10:M10"/>
    <mergeCell ref="N10:O10"/>
    <mergeCell ref="N19:O19"/>
    <mergeCell ref="N34:O34"/>
    <mergeCell ref="J10:K10"/>
    <mergeCell ref="J19:K19"/>
    <mergeCell ref="T34:U34"/>
    <mergeCell ref="P10:Q10"/>
    <mergeCell ref="R10:S10"/>
    <mergeCell ref="P19:Q19"/>
    <mergeCell ref="P34:Q34"/>
    <mergeCell ref="T10:U10"/>
    <mergeCell ref="F10:G10"/>
    <mergeCell ref="H10:I10"/>
    <mergeCell ref="F19:G19"/>
    <mergeCell ref="F34:G34"/>
    <mergeCell ref="B19:C19"/>
    <mergeCell ref="B34:C34"/>
    <mergeCell ref="B10:C10"/>
    <mergeCell ref="D10:E10"/>
  </mergeCells>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zoomScale="85" zoomScaleNormal="85" workbookViewId="0">
      <pane xSplit="1" ySplit="2" topLeftCell="B3" activePane="bottomRight" state="frozenSplit"/>
      <selection pane="topRight"/>
      <selection pane="bottomLeft" activeCell="A3" sqref="A3"/>
      <selection pane="bottomRight" activeCell="N10" sqref="N10:O10"/>
    </sheetView>
  </sheetViews>
  <sheetFormatPr defaultRowHeight="14.4" x14ac:dyDescent="0.3"/>
  <cols>
    <col min="1" max="1" width="28" customWidth="1"/>
    <col min="2" max="3" width="11.6640625" customWidth="1"/>
    <col min="4" max="7" width="9.109375" style="49" customWidth="1"/>
    <col min="8" max="9" width="11.6640625" customWidth="1"/>
    <col min="10" max="11" width="9.109375" style="49" customWidth="1"/>
    <col min="12" max="15" width="11.6640625" customWidth="1"/>
  </cols>
  <sheetData>
    <row r="1" spans="1:17" s="19" customFormat="1" x14ac:dyDescent="0.3">
      <c r="A1" s="20" t="s">
        <v>39</v>
      </c>
      <c r="B1" s="20"/>
      <c r="C1" s="20"/>
      <c r="D1" s="47"/>
      <c r="E1" s="47"/>
      <c r="F1" s="47"/>
      <c r="G1" s="47"/>
      <c r="H1" s="20"/>
      <c r="I1" s="20"/>
      <c r="J1" s="47"/>
      <c r="K1" s="47"/>
      <c r="L1" s="20"/>
      <c r="M1" s="20"/>
      <c r="N1" s="20"/>
      <c r="O1" s="20"/>
    </row>
    <row r="2" spans="1:17" s="13" customFormat="1" x14ac:dyDescent="0.3">
      <c r="B2" s="27"/>
      <c r="C2" s="27" t="s">
        <v>188</v>
      </c>
      <c r="D2" s="48"/>
      <c r="E2" s="48" t="s">
        <v>190</v>
      </c>
      <c r="F2" s="48"/>
      <c r="G2" s="48" t="s">
        <v>191</v>
      </c>
      <c r="H2" s="27"/>
      <c r="I2" s="27" t="s">
        <v>189</v>
      </c>
      <c r="J2" s="48"/>
      <c r="K2" s="48" t="s">
        <v>192</v>
      </c>
      <c r="L2" s="27"/>
      <c r="M2" s="27" t="s">
        <v>193</v>
      </c>
      <c r="N2" s="27"/>
      <c r="O2" s="27" t="s">
        <v>194</v>
      </c>
      <c r="Q2" s="13" t="s">
        <v>218</v>
      </c>
    </row>
    <row r="3" spans="1:17" s="13" customFormat="1" x14ac:dyDescent="0.3">
      <c r="B3" s="27" t="s">
        <v>61</v>
      </c>
      <c r="C3" s="27" t="s">
        <v>60</v>
      </c>
      <c r="D3" s="48"/>
      <c r="E3" s="48"/>
      <c r="F3" s="48"/>
      <c r="G3" s="48"/>
      <c r="H3" s="27" t="s">
        <v>61</v>
      </c>
      <c r="I3" s="27" t="s">
        <v>60</v>
      </c>
      <c r="J3" s="48"/>
      <c r="K3" s="48"/>
      <c r="L3" s="27" t="s">
        <v>61</v>
      </c>
      <c r="M3" s="27" t="s">
        <v>60</v>
      </c>
      <c r="N3" s="27" t="s">
        <v>61</v>
      </c>
      <c r="O3" s="27" t="s">
        <v>60</v>
      </c>
    </row>
    <row r="4" spans="1:17" x14ac:dyDescent="0.3">
      <c r="A4" t="s">
        <v>1</v>
      </c>
      <c r="B4">
        <v>554.976</v>
      </c>
      <c r="C4">
        <f>960-405.499</f>
        <v>554.50099999999998</v>
      </c>
      <c r="D4" s="49">
        <v>488</v>
      </c>
      <c r="E4" s="49">
        <v>762</v>
      </c>
      <c r="F4" s="49">
        <v>485</v>
      </c>
      <c r="G4" s="49">
        <v>764</v>
      </c>
      <c r="H4">
        <v>738.48299999999995</v>
      </c>
      <c r="I4">
        <f>960-452.746</f>
        <v>507.25400000000002</v>
      </c>
      <c r="J4" s="48">
        <v>677</v>
      </c>
      <c r="K4" s="48">
        <v>631</v>
      </c>
      <c r="L4">
        <v>505</v>
      </c>
      <c r="M4">
        <v>525</v>
      </c>
      <c r="N4">
        <v>559</v>
      </c>
      <c r="O4">
        <v>560</v>
      </c>
      <c r="P4">
        <v>559.19000000000005</v>
      </c>
      <c r="Q4">
        <f>960-403.054</f>
        <v>556.94600000000003</v>
      </c>
    </row>
    <row r="5" spans="1:17" x14ac:dyDescent="0.3">
      <c r="A5" t="s">
        <v>2</v>
      </c>
      <c r="B5">
        <v>466.78300000000002</v>
      </c>
      <c r="C5">
        <f>960-473.973</f>
        <v>486.02699999999999</v>
      </c>
      <c r="D5" s="49">
        <v>477</v>
      </c>
      <c r="E5" s="49">
        <v>402</v>
      </c>
      <c r="F5" s="49">
        <v>466</v>
      </c>
      <c r="G5" s="49">
        <v>216</v>
      </c>
      <c r="H5" s="74">
        <v>704.274</v>
      </c>
      <c r="I5" s="74">
        <f>960-381.297</f>
        <v>578.70299999999997</v>
      </c>
      <c r="J5" s="49">
        <v>648</v>
      </c>
      <c r="K5" s="49">
        <v>141</v>
      </c>
      <c r="L5" s="74">
        <v>495</v>
      </c>
      <c r="M5" s="74">
        <v>524</v>
      </c>
      <c r="N5" s="74">
        <v>572</v>
      </c>
      <c r="O5" s="74">
        <v>543</v>
      </c>
      <c r="P5" s="74">
        <v>585.63099999999997</v>
      </c>
      <c r="Q5" s="74">
        <f>960-346.673</f>
        <v>613.327</v>
      </c>
    </row>
    <row r="6" spans="1:17" x14ac:dyDescent="0.3">
      <c r="A6" t="s">
        <v>4</v>
      </c>
      <c r="B6">
        <f t="shared" ref="B6:G6" si="0">B5-B4</f>
        <v>-88.192999999999984</v>
      </c>
      <c r="C6">
        <f t="shared" si="0"/>
        <v>-68.47399999999999</v>
      </c>
      <c r="D6" s="49">
        <f t="shared" si="0"/>
        <v>-11</v>
      </c>
      <c r="E6" s="49">
        <f t="shared" si="0"/>
        <v>-360</v>
      </c>
      <c r="F6" s="49">
        <f t="shared" si="0"/>
        <v>-19</v>
      </c>
      <c r="G6" s="49">
        <f t="shared" si="0"/>
        <v>-548</v>
      </c>
      <c r="H6" s="29">
        <f t="shared" ref="H6:O6" si="1">H5-H4</f>
        <v>-34.208999999999946</v>
      </c>
      <c r="I6" s="74">
        <f t="shared" si="1"/>
        <v>71.448999999999955</v>
      </c>
      <c r="J6" s="63">
        <f t="shared" si="1"/>
        <v>-29</v>
      </c>
      <c r="K6" s="63">
        <f t="shared" si="1"/>
        <v>-490</v>
      </c>
      <c r="L6" s="29">
        <f t="shared" si="1"/>
        <v>-10</v>
      </c>
      <c r="M6" s="74">
        <f t="shared" si="1"/>
        <v>-1</v>
      </c>
      <c r="N6" s="29">
        <f t="shared" si="1"/>
        <v>13</v>
      </c>
      <c r="O6" s="74">
        <f t="shared" si="1"/>
        <v>-17</v>
      </c>
      <c r="P6" s="29">
        <f>P5-P4</f>
        <v>26.440999999999917</v>
      </c>
      <c r="Q6" s="74">
        <f>Q5-Q4</f>
        <v>56.380999999999972</v>
      </c>
    </row>
    <row r="7" spans="1:17" x14ac:dyDescent="0.3">
      <c r="A7" t="s">
        <v>5</v>
      </c>
      <c r="B7">
        <f t="shared" ref="B7:G7" si="2">B6^2</f>
        <v>7778.0052489999971</v>
      </c>
      <c r="C7">
        <f t="shared" si="2"/>
        <v>4688.6886759999988</v>
      </c>
      <c r="D7" s="49">
        <f t="shared" si="2"/>
        <v>121</v>
      </c>
      <c r="E7" s="49">
        <f t="shared" si="2"/>
        <v>129600</v>
      </c>
      <c r="F7" s="49">
        <f t="shared" si="2"/>
        <v>361</v>
      </c>
      <c r="G7" s="49">
        <f t="shared" si="2"/>
        <v>300304</v>
      </c>
      <c r="H7" s="29">
        <f t="shared" ref="H7:O7" si="3">H6^2</f>
        <v>1170.2556809999962</v>
      </c>
      <c r="I7" s="74">
        <f t="shared" si="3"/>
        <v>5104.9596009999932</v>
      </c>
      <c r="J7" s="63">
        <f t="shared" si="3"/>
        <v>841</v>
      </c>
      <c r="K7" s="63">
        <f t="shared" si="3"/>
        <v>240100</v>
      </c>
      <c r="L7" s="29">
        <f t="shared" si="3"/>
        <v>100</v>
      </c>
      <c r="M7" s="74">
        <f t="shared" si="3"/>
        <v>1</v>
      </c>
      <c r="N7" s="29">
        <f t="shared" si="3"/>
        <v>169</v>
      </c>
      <c r="O7" s="74">
        <f t="shared" si="3"/>
        <v>289</v>
      </c>
      <c r="P7" s="29">
        <f>P6^2</f>
        <v>699.12648099999558</v>
      </c>
      <c r="Q7" s="74">
        <f>Q6^2</f>
        <v>3178.8171609999968</v>
      </c>
    </row>
    <row r="8" spans="1:17" x14ac:dyDescent="0.3">
      <c r="A8" t="s">
        <v>6</v>
      </c>
      <c r="C8">
        <f>SQRT(SUM(B7:C7))</f>
        <v>111.65435022873044</v>
      </c>
      <c r="E8" s="49">
        <f>SQRT(SUM(D7:E7))</f>
        <v>360.16801634792614</v>
      </c>
      <c r="G8" s="49">
        <f>SQRT(SUM(F7:G7))</f>
        <v>548.32928063345298</v>
      </c>
      <c r="H8" s="29"/>
      <c r="I8" s="74">
        <f>SQRT(SUM(H7:I7))</f>
        <v>79.21625642505451</v>
      </c>
      <c r="J8" s="63"/>
      <c r="K8" s="63">
        <f>SQRT(SUM(J7:K7))</f>
        <v>490.85741310486492</v>
      </c>
      <c r="L8" s="29"/>
      <c r="M8" s="74">
        <f>SQRT(SUM(L7:M7))</f>
        <v>10.04987562112089</v>
      </c>
      <c r="N8" s="29"/>
      <c r="O8" s="74">
        <f>SQRT(SUM(N7:O7))</f>
        <v>21.400934559032695</v>
      </c>
      <c r="P8" s="29"/>
      <c r="Q8" s="74">
        <f>SQRT(SUM(P7:Q7))</f>
        <v>62.273137402896225</v>
      </c>
    </row>
    <row r="9" spans="1:17" x14ac:dyDescent="0.3">
      <c r="A9" t="s">
        <v>7</v>
      </c>
      <c r="C9">
        <f>MOD(ATAN2(C6,B6)*180/PI()+270,360)</f>
        <v>142.1738484148531</v>
      </c>
      <c r="E9" s="49">
        <f>MOD(ATAN2(E6,D6)*180/PI()+270,360)</f>
        <v>91.750159835324183</v>
      </c>
      <c r="G9" s="49">
        <f>MOD(ATAN2(G6,F6)*180/PI()+270,360)</f>
        <v>91.985737061381769</v>
      </c>
      <c r="H9" s="29"/>
      <c r="I9" s="74">
        <f>MOD(ATAN2(I6,H6)*180/PI()+270,360)</f>
        <v>244.41541010381872</v>
      </c>
      <c r="J9" s="63"/>
      <c r="K9" s="63">
        <f>MOD(ATAN2(K6,J6)*180/PI()+270,360)</f>
        <v>93.387023808681533</v>
      </c>
      <c r="L9" s="29"/>
      <c r="M9" s="74">
        <f>MOD(ATAN2(M6,L6)*180/PI()+270,360)</f>
        <v>174.28940686250036</v>
      </c>
      <c r="N9" s="29"/>
      <c r="O9" s="74">
        <f>MOD(ATAN2(O6,N6)*180/PI()+270,360)</f>
        <v>52.594643368591449</v>
      </c>
      <c r="P9" s="29"/>
      <c r="Q9" s="74">
        <f>MOD(ATAN2(Q6,P6)*180/PI()+270,360)</f>
        <v>295.12517037863427</v>
      </c>
    </row>
    <row r="10" spans="1:17" s="17" customFormat="1" ht="128.25" customHeight="1" x14ac:dyDescent="0.3">
      <c r="A10" s="16" t="s">
        <v>40</v>
      </c>
      <c r="B10" s="393"/>
      <c r="C10" s="393"/>
      <c r="D10" s="395"/>
      <c r="E10" s="395"/>
      <c r="F10" s="395"/>
      <c r="G10" s="395"/>
      <c r="H10" s="406"/>
      <c r="I10" s="406"/>
      <c r="J10" s="395"/>
      <c r="K10" s="395"/>
      <c r="L10" s="406" t="s">
        <v>219</v>
      </c>
      <c r="M10" s="406"/>
      <c r="N10" s="407" t="s">
        <v>272</v>
      </c>
      <c r="O10" s="407"/>
    </row>
    <row r="11" spans="1:17" s="19" customFormat="1" x14ac:dyDescent="0.3">
      <c r="A11" s="20" t="s">
        <v>37</v>
      </c>
      <c r="B11" s="20"/>
      <c r="C11" s="20"/>
      <c r="D11" s="47"/>
      <c r="E11" s="47"/>
      <c r="F11" s="47"/>
      <c r="G11" s="47"/>
      <c r="H11" s="20"/>
      <c r="I11" s="20"/>
      <c r="J11" s="47"/>
      <c r="K11" s="47"/>
      <c r="L11" s="20"/>
      <c r="M11" s="20"/>
      <c r="N11" s="20"/>
      <c r="O11" s="20"/>
    </row>
    <row r="12" spans="1:17" s="1" customFormat="1" x14ac:dyDescent="0.3">
      <c r="B12" s="1" t="s">
        <v>62</v>
      </c>
      <c r="C12" s="1" t="s">
        <v>63</v>
      </c>
      <c r="D12" s="50"/>
      <c r="E12" s="50"/>
      <c r="F12" s="50"/>
      <c r="G12" s="50"/>
      <c r="H12" s="1" t="s">
        <v>62</v>
      </c>
      <c r="I12" s="1" t="s">
        <v>63</v>
      </c>
      <c r="J12" s="50"/>
      <c r="K12" s="50"/>
      <c r="L12" s="1" t="s">
        <v>62</v>
      </c>
      <c r="M12" s="1" t="s">
        <v>63</v>
      </c>
      <c r="N12" s="1" t="s">
        <v>62</v>
      </c>
      <c r="O12" s="1" t="s">
        <v>63</v>
      </c>
      <c r="P12" s="1" t="s">
        <v>62</v>
      </c>
      <c r="Q12" s="1" t="s">
        <v>63</v>
      </c>
    </row>
    <row r="13" spans="1:17" x14ac:dyDescent="0.3">
      <c r="A13" t="s">
        <v>18</v>
      </c>
    </row>
    <row r="14" spans="1:17" x14ac:dyDescent="0.3">
      <c r="A14" t="s">
        <v>17</v>
      </c>
    </row>
    <row r="15" spans="1:17" x14ac:dyDescent="0.3">
      <c r="A15" t="s">
        <v>14</v>
      </c>
    </row>
    <row r="16" spans="1:17" x14ac:dyDescent="0.3">
      <c r="A16" t="s">
        <v>13</v>
      </c>
      <c r="C16">
        <v>13.162000000000001</v>
      </c>
      <c r="E16" s="53">
        <f>5*15.0412*COS((57+48/60+52/3600)*PI()/180)</f>
        <v>40.059448404344387</v>
      </c>
      <c r="G16" s="53">
        <f>8*15.0412*COS((57+48/60+52/3600)*PI()/180)</f>
        <v>64.095117446951022</v>
      </c>
      <c r="H16" s="41"/>
      <c r="I16">
        <v>9.6999999999999993</v>
      </c>
      <c r="K16" s="53">
        <f>5*15.0412*COS((42+19/60+52/3600)*PI()/180)</f>
        <v>55.597204652875362</v>
      </c>
      <c r="L16" s="41"/>
      <c r="M16">
        <v>1.175</v>
      </c>
      <c r="N16" s="41"/>
      <c r="O16">
        <v>2.5979999999999999</v>
      </c>
      <c r="Q16">
        <v>7.5</v>
      </c>
    </row>
    <row r="17" spans="1:17" x14ac:dyDescent="0.3">
      <c r="A17" t="s">
        <v>7</v>
      </c>
      <c r="C17">
        <v>321.10000000000002</v>
      </c>
      <c r="E17" s="49">
        <v>-90</v>
      </c>
      <c r="G17" s="49">
        <v>-90</v>
      </c>
      <c r="H17" s="41"/>
      <c r="I17">
        <v>66</v>
      </c>
      <c r="K17" s="49">
        <v>-90</v>
      </c>
      <c r="L17" s="41"/>
      <c r="M17">
        <v>320.11</v>
      </c>
      <c r="N17" s="41"/>
      <c r="O17">
        <v>229.25</v>
      </c>
      <c r="Q17">
        <v>116</v>
      </c>
    </row>
    <row r="18" spans="1:17" x14ac:dyDescent="0.3">
      <c r="A18" t="s">
        <v>32</v>
      </c>
      <c r="B18" s="9">
        <f>-C16*SIN((C17)/180*PI())</f>
        <v>8.2652497647805827</v>
      </c>
      <c r="C18" s="9">
        <f>C16*COS((C17)/180*PI())</f>
        <v>10.243236320899491</v>
      </c>
      <c r="D18" s="9">
        <f>-E16*SIN((E17)/180*PI())</f>
        <v>40.059448404344387</v>
      </c>
      <c r="E18" s="9">
        <f>E16*COS((E17)/180*PI())</f>
        <v>2.4539385658537053E-15</v>
      </c>
      <c r="F18" s="9">
        <f>-G16*SIN((G17)/180*PI())</f>
        <v>64.095117446951022</v>
      </c>
      <c r="G18" s="9">
        <f>G16*COS((G17)/180*PI())</f>
        <v>3.9263017053659285E-15</v>
      </c>
      <c r="H18" s="9">
        <f>-I16*SIN((I17)/180*PI())</f>
        <v>-8.8613909391332282</v>
      </c>
      <c r="I18" s="9">
        <f>I16*COS((I17)/180*PI())</f>
        <v>3.9453454378352633</v>
      </c>
      <c r="J18" s="9">
        <f>-K16*SIN((K17)/180*PI())</f>
        <v>55.597204652875362</v>
      </c>
      <c r="K18" s="9">
        <f>K16*COS((K17)/180*PI())</f>
        <v>3.4057414688854296E-15</v>
      </c>
      <c r="L18" s="9">
        <f>-M16*SIN((M17)/180*PI())</f>
        <v>0.7535459783107834</v>
      </c>
      <c r="M18" s="9">
        <f>M16*COS((M17)/180*PI())</f>
        <v>0.90155058569757707</v>
      </c>
      <c r="N18" s="9">
        <f>-O16*SIN((O17)/180*PI())</f>
        <v>1.9681538294297602</v>
      </c>
      <c r="O18" s="9">
        <f>O16*COS((O17)/180*PI())</f>
        <v>-1.6958698368981533</v>
      </c>
      <c r="P18" s="9">
        <f>-Q16*SIN((Q17)/180*PI())</f>
        <v>-6.7409553472437516</v>
      </c>
      <c r="Q18" s="9">
        <f>Q16*COS((Q17)/180*PI())</f>
        <v>-3.2877836009180812</v>
      </c>
    </row>
    <row r="19" spans="1:17" s="14" customFormat="1" ht="69" customHeight="1" x14ac:dyDescent="0.3">
      <c r="A19" s="15" t="s">
        <v>40</v>
      </c>
      <c r="B19" s="389"/>
      <c r="C19" s="389"/>
      <c r="D19" s="51"/>
      <c r="E19" s="51"/>
      <c r="F19" s="51"/>
      <c r="G19" s="51"/>
      <c r="H19" s="389"/>
      <c r="I19" s="389"/>
      <c r="J19" s="51"/>
      <c r="K19" s="51"/>
      <c r="L19" s="389"/>
      <c r="M19" s="389"/>
      <c r="N19" s="389"/>
      <c r="O19" s="389"/>
    </row>
    <row r="20" spans="1:17" s="19" customFormat="1" x14ac:dyDescent="0.3">
      <c r="A20" s="18" t="s">
        <v>38</v>
      </c>
      <c r="D20" s="47"/>
      <c r="E20" s="47"/>
      <c r="F20" s="47"/>
      <c r="G20" s="47"/>
      <c r="J20" s="47"/>
      <c r="K20" s="47"/>
    </row>
    <row r="21" spans="1:17" x14ac:dyDescent="0.3">
      <c r="A21" s="7" t="s">
        <v>65</v>
      </c>
      <c r="C21">
        <f>C16/C8</f>
        <v>0.11788165864596299</v>
      </c>
      <c r="E21">
        <f>E16/E8</f>
        <v>0.11122433582677295</v>
      </c>
      <c r="G21">
        <f>G16/G8</f>
        <v>0.11689165563601793</v>
      </c>
      <c r="I21">
        <f>I16/I8</f>
        <v>0.12244961372514548</v>
      </c>
      <c r="K21">
        <f>K16/K8</f>
        <v>0.1132654884464336</v>
      </c>
      <c r="M21">
        <f>M16/M8</f>
        <v>0.11691686984967373</v>
      </c>
      <c r="O21">
        <f>O16/O8</f>
        <v>0.12139656765145622</v>
      </c>
      <c r="Q21">
        <f>Q16/Q8</f>
        <v>0.12043716300138087</v>
      </c>
    </row>
    <row r="22" spans="1:17" x14ac:dyDescent="0.3">
      <c r="A22" t="s">
        <v>34</v>
      </c>
      <c r="B22">
        <f>STDEV(B21:K21,O21)</f>
        <v>4.4026567449690782E-3</v>
      </c>
      <c r="C22">
        <f>AVERAGE(B21:K21,O21)</f>
        <v>0.11718488665529819</v>
      </c>
    </row>
    <row r="23" spans="1:17" x14ac:dyDescent="0.3">
      <c r="A23" t="s">
        <v>35</v>
      </c>
      <c r="C23">
        <f>C21-$C22</f>
        <v>6.96771990664799E-4</v>
      </c>
      <c r="E23">
        <f>E21-$C22</f>
        <v>-5.9605508285252434E-3</v>
      </c>
      <c r="G23">
        <f>G21-$C22</f>
        <v>-2.9323101928026285E-4</v>
      </c>
      <c r="I23">
        <f>I21-$C22</f>
        <v>5.2647270698472914E-3</v>
      </c>
      <c r="K23">
        <f>K21-$C22</f>
        <v>-3.9193982088645968E-3</v>
      </c>
      <c r="M23">
        <f>M21-$C22</f>
        <v>-2.6801680562446584E-4</v>
      </c>
      <c r="O23">
        <f>O21-$C22</f>
        <v>4.2116809961580265E-3</v>
      </c>
      <c r="Q23">
        <f>Q21-$C22</f>
        <v>3.2522763460826748E-3</v>
      </c>
    </row>
    <row r="24" spans="1:17" x14ac:dyDescent="0.3">
      <c r="A24" s="7" t="s">
        <v>64</v>
      </c>
      <c r="C24" s="29">
        <f>MOD(C9-C17,360)</f>
        <v>181.07384841485307</v>
      </c>
      <c r="E24" s="29">
        <f>MOD(E9-E17,360)</f>
        <v>181.75015983532418</v>
      </c>
      <c r="G24" s="29">
        <f>MOD(G9-G17,360)</f>
        <v>181.98573706138177</v>
      </c>
      <c r="I24" s="29">
        <f>MOD(I9-I17,360)</f>
        <v>178.41541010381872</v>
      </c>
      <c r="K24" s="29">
        <f>MOD(K9-K17,360)</f>
        <v>183.38702380868153</v>
      </c>
      <c r="M24" s="29">
        <f>MOD(M9-M17,360)</f>
        <v>214.17940686250034</v>
      </c>
      <c r="O24" s="29">
        <f>MOD(O9-O17,360)</f>
        <v>183.34464336859145</v>
      </c>
      <c r="Q24" s="29">
        <f>MOD(Q9-Q17,360)</f>
        <v>179.12517037863427</v>
      </c>
    </row>
    <row r="25" spans="1:17" x14ac:dyDescent="0.3">
      <c r="A25" t="s">
        <v>36</v>
      </c>
      <c r="B25">
        <f>STDEV(B24:K24,O24)</f>
        <v>1.8333468595262792</v>
      </c>
      <c r="C25">
        <f>AVERAGE(B24:K24,O24)</f>
        <v>181.65947043210846</v>
      </c>
      <c r="H25">
        <f>STDEV(H24:K24)</f>
        <v>3.515461764148474</v>
      </c>
      <c r="I25">
        <f>AVERAGE(H24:K24)</f>
        <v>180.90121695625012</v>
      </c>
      <c r="L25" t="e">
        <f>STDEV(L24:M24)</f>
        <v>#DIV/0!</v>
      </c>
      <c r="M25">
        <f>AVERAGE(L24:M24)</f>
        <v>214.17940686250034</v>
      </c>
      <c r="N25" t="e">
        <f>STDEV(N24:O24)</f>
        <v>#DIV/0!</v>
      </c>
      <c r="O25">
        <f>AVERAGE(N24:O24)</f>
        <v>183.34464336859145</v>
      </c>
      <c r="P25" t="e">
        <f>STDEV(P24:Q24)</f>
        <v>#DIV/0!</v>
      </c>
      <c r="Q25">
        <f>AVERAGE(P24:Q24)</f>
        <v>179.12517037863427</v>
      </c>
    </row>
    <row r="26" spans="1:17" x14ac:dyDescent="0.3">
      <c r="A26" t="s">
        <v>35</v>
      </c>
      <c r="C26">
        <f>C24-$C25</f>
        <v>-0.58562201725538898</v>
      </c>
      <c r="E26" s="49">
        <f>E24-$C25</f>
        <v>9.0689403215719722E-2</v>
      </c>
      <c r="G26" s="49">
        <f>G24-$C25</f>
        <v>0.32626662927330585</v>
      </c>
      <c r="I26">
        <f>I24-$C25</f>
        <v>-3.2440603282897484</v>
      </c>
      <c r="K26">
        <f>K24-$C25</f>
        <v>1.72755337657307</v>
      </c>
      <c r="M26">
        <f>M24-$C25</f>
        <v>32.51993643039188</v>
      </c>
      <c r="O26">
        <f>O24-$C25</f>
        <v>1.6851729364829851</v>
      </c>
      <c r="Q26">
        <f>Q24-$C25</f>
        <v>-2.5343000534741975</v>
      </c>
    </row>
    <row r="27" spans="1:17" x14ac:dyDescent="0.3">
      <c r="A27" t="s">
        <v>67</v>
      </c>
      <c r="C27">
        <f>SQRT(C16)</f>
        <v>3.6279470778940532</v>
      </c>
      <c r="E27" s="49">
        <f>SQRT(E16)</f>
        <v>6.329253384432036</v>
      </c>
      <c r="G27" s="49">
        <f>SQRT(G16)</f>
        <v>8.0059426332538148</v>
      </c>
      <c r="I27">
        <f>SQRT(I16)</f>
        <v>3.1144823004794873</v>
      </c>
      <c r="K27" s="49">
        <f>SQRT(K16)</f>
        <v>7.456353307943191</v>
      </c>
      <c r="M27">
        <f>SQRT(M16)</f>
        <v>1.08397416943394</v>
      </c>
      <c r="O27">
        <f>SQRT(O16)</f>
        <v>1.611831256676703</v>
      </c>
      <c r="Q27">
        <f>SQRT(Q16)</f>
        <v>2.7386127875258306</v>
      </c>
    </row>
    <row r="28" spans="1:17" x14ac:dyDescent="0.3">
      <c r="A28" s="10" t="s">
        <v>68</v>
      </c>
      <c r="C28">
        <f>C27*C21</f>
        <v>0.42766841902192571</v>
      </c>
      <c r="E28">
        <f>E27*E21</f>
        <v>0.70396700396280809</v>
      </c>
      <c r="G28">
        <f>G27*G21</f>
        <v>0.93582788932801952</v>
      </c>
      <c r="I28">
        <f>I27*I21</f>
        <v>0.38136715464751569</v>
      </c>
      <c r="K28">
        <f>K27*K21</f>
        <v>0.84454749945336638</v>
      </c>
      <c r="M28">
        <f>M27*M21</f>
        <v>0.12673486688811614</v>
      </c>
      <c r="O28">
        <f>O27*O21</f>
        <v>0.19567078219388506</v>
      </c>
      <c r="Q28">
        <f>Q27*Q21</f>
        <v>0.32983075468891448</v>
      </c>
    </row>
    <row r="29" spans="1:17" x14ac:dyDescent="0.3">
      <c r="A29" s="7" t="s">
        <v>69</v>
      </c>
      <c r="C29" s="7">
        <f>SUM(B28:K28,O28:Q28)/SUM(B27:K27,O27:Q27)</f>
        <v>0.11613034939179147</v>
      </c>
      <c r="I29" s="7">
        <f>SUM(H28:K28)/SUM(H27:K27)</f>
        <v>0.11597140467534016</v>
      </c>
      <c r="M29" s="7"/>
      <c r="O29" s="7"/>
      <c r="Q29" s="7"/>
    </row>
    <row r="30" spans="1:17" x14ac:dyDescent="0.3">
      <c r="A30" t="s">
        <v>72</v>
      </c>
      <c r="C30" s="7">
        <f>C21-$C$29</f>
        <v>1.7513092541715236E-3</v>
      </c>
      <c r="E30" s="7">
        <f>E21-$C$29</f>
        <v>-4.9060135650185188E-3</v>
      </c>
      <c r="G30" s="7">
        <f>G21-$C$29</f>
        <v>7.6130624422646176E-4</v>
      </c>
      <c r="I30" s="7">
        <f>I21-$C$29</f>
        <v>6.319264333354016E-3</v>
      </c>
      <c r="K30" s="7">
        <f>K21-$C$29</f>
        <v>-2.8648609453578722E-3</v>
      </c>
      <c r="M30" s="7">
        <f>M21-$C$29</f>
        <v>7.8652045788225877E-4</v>
      </c>
      <c r="O30" s="7">
        <f>O21-$C$29</f>
        <v>5.2662182596647511E-3</v>
      </c>
      <c r="Q30" s="7">
        <f>Q21-$C$29</f>
        <v>4.3068136095893994E-3</v>
      </c>
    </row>
    <row r="31" spans="1:17" x14ac:dyDescent="0.3">
      <c r="A31" s="10" t="s">
        <v>119</v>
      </c>
      <c r="C31">
        <f>C27*C24</f>
        <v>656.92633923969697</v>
      </c>
      <c r="E31" s="49">
        <f>E27*E24</f>
        <v>1150.3428142587891</v>
      </c>
      <c r="G31" s="49">
        <f>G27*G24</f>
        <v>1456.9673709838351</v>
      </c>
      <c r="I31">
        <f>I27*I24</f>
        <v>555.6716369011325</v>
      </c>
      <c r="K31" s="49">
        <f>K27*K24</f>
        <v>1367.3984416097192</v>
      </c>
      <c r="M31">
        <f>M27*M24</f>
        <v>232.16494466363272</v>
      </c>
      <c r="O31">
        <f>O27*O24</f>
        <v>295.52062692573872</v>
      </c>
      <c r="Q31">
        <f>Q27*Q24</f>
        <v>490.55448216667094</v>
      </c>
    </row>
    <row r="32" spans="1:17" x14ac:dyDescent="0.3">
      <c r="A32" t="s">
        <v>120</v>
      </c>
      <c r="C32" s="7">
        <f>SUM(B31:K31,O27:Q31)/SUM(B27:K27,O27:Q27)</f>
        <v>181.7963257702263</v>
      </c>
      <c r="I32" s="7">
        <f>SUM(H31:K31)/SUM(H27:K27)</f>
        <v>181.92223867132878</v>
      </c>
      <c r="M32" s="7">
        <f>SUM(L31:M31)/SUM(L27:M27)</f>
        <v>214.17940686250034</v>
      </c>
      <c r="O32" s="7">
        <f>SUM(N31:O31)/SUM(N27:O27)</f>
        <v>183.34464336859148</v>
      </c>
      <c r="Q32" s="7">
        <f>SUM(P31:Q31)/SUM(P27:Q27)</f>
        <v>179.12517037863427</v>
      </c>
    </row>
    <row r="33" spans="1:17" x14ac:dyDescent="0.3">
      <c r="A33" t="s">
        <v>121</v>
      </c>
      <c r="C33" s="7">
        <f>C24-$C$32</f>
        <v>-0.7224773553732291</v>
      </c>
      <c r="E33" s="7">
        <f>E24-$C$32</f>
        <v>-4.6165934902120398E-2</v>
      </c>
      <c r="G33" s="7">
        <f>G24-$C$32</f>
        <v>0.18941129115546573</v>
      </c>
      <c r="I33" s="7">
        <f>I24-$C$32</f>
        <v>-3.3809156664075886</v>
      </c>
      <c r="K33" s="7">
        <f>K24-$C$32</f>
        <v>1.5906980384552298</v>
      </c>
      <c r="M33" s="7">
        <f>M24-$C$32</f>
        <v>32.38308109227404</v>
      </c>
      <c r="O33" s="7">
        <f>O24-$C$32</f>
        <v>1.5483175983651449</v>
      </c>
      <c r="Q33" s="7">
        <f>Q24-$C$32</f>
        <v>-2.6711553915920376</v>
      </c>
    </row>
    <row r="34" spans="1:17" s="14" customFormat="1" ht="75.75" customHeight="1" x14ac:dyDescent="0.3">
      <c r="A34" s="15" t="s">
        <v>40</v>
      </c>
      <c r="B34" s="391"/>
      <c r="C34" s="391"/>
      <c r="D34" s="51"/>
      <c r="E34" s="51"/>
      <c r="F34" s="51"/>
      <c r="G34" s="51"/>
      <c r="H34" s="391"/>
      <c r="I34" s="391"/>
      <c r="J34" s="51"/>
      <c r="K34" s="51"/>
      <c r="L34" s="391"/>
      <c r="M34" s="391"/>
      <c r="N34" s="391"/>
      <c r="O34" s="391"/>
    </row>
    <row r="35" spans="1:17" s="19" customFormat="1" x14ac:dyDescent="0.3">
      <c r="A35" s="20" t="s">
        <v>54</v>
      </c>
      <c r="B35" s="20"/>
      <c r="C35" s="20"/>
      <c r="D35" s="47"/>
      <c r="E35" s="47"/>
      <c r="F35" s="47"/>
      <c r="G35" s="47"/>
      <c r="H35" s="20"/>
      <c r="I35" s="20"/>
      <c r="J35" s="47"/>
      <c r="K35" s="47"/>
      <c r="L35" s="20"/>
      <c r="M35" s="20"/>
      <c r="N35" s="20"/>
      <c r="O35" s="20"/>
    </row>
    <row r="36" spans="1:17" x14ac:dyDescent="0.3">
      <c r="A36" s="7" t="s">
        <v>42</v>
      </c>
      <c r="C36" s="112">
        <f>C8*$C29</f>
        <v>12.966458703175917</v>
      </c>
      <c r="D36" s="174"/>
      <c r="E36" s="174"/>
      <c r="F36" s="174"/>
      <c r="G36" s="174"/>
      <c r="H36" s="110"/>
      <c r="I36" s="112">
        <f>I8*$C29</f>
        <v>9.1994115361513256</v>
      </c>
      <c r="J36" s="174"/>
      <c r="K36" s="174"/>
      <c r="L36" s="110"/>
      <c r="M36" s="175">
        <f>M8*$C29</f>
        <v>1.1670955672248162</v>
      </c>
      <c r="N36" s="110"/>
      <c r="O36" s="112">
        <f>O8*$C29</f>
        <v>2.4852980076513314</v>
      </c>
      <c r="P36" s="110"/>
      <c r="Q36" s="112">
        <f>Q8*$C29</f>
        <v>7.2318012043213757</v>
      </c>
    </row>
    <row r="37" spans="1:17" x14ac:dyDescent="0.3">
      <c r="A37" t="s">
        <v>50</v>
      </c>
      <c r="C37" s="4">
        <f>C36-C16</f>
        <v>-0.19554129682408394</v>
      </c>
      <c r="I37" s="4">
        <f>I36-I16</f>
        <v>-0.50058846384867373</v>
      </c>
      <c r="M37" s="4">
        <f>M36-M16</f>
        <v>-7.9044327751838228E-3</v>
      </c>
      <c r="O37" s="4">
        <f>O36-O16</f>
        <v>-0.11270199234866851</v>
      </c>
      <c r="Q37" s="4">
        <f>Q36-Q16</f>
        <v>-0.26819879567862426</v>
      </c>
    </row>
    <row r="38" spans="1:17" x14ac:dyDescent="0.3">
      <c r="A38" t="s">
        <v>51</v>
      </c>
      <c r="C38" s="23">
        <f>C37/C16</f>
        <v>-1.4856503329591547E-2</v>
      </c>
      <c r="I38" s="23">
        <f>I37/I16</f>
        <v>-5.1607058128729254E-2</v>
      </c>
      <c r="M38" s="23">
        <f>M37/M16</f>
        <v>-6.7271768299436785E-3</v>
      </c>
      <c r="O38" s="23">
        <f>O37/O16</f>
        <v>-4.3380289587632223E-2</v>
      </c>
      <c r="Q38" s="23">
        <f>Q37/Q16</f>
        <v>-3.5759839423816567E-2</v>
      </c>
    </row>
    <row r="39" spans="1:17" x14ac:dyDescent="0.3">
      <c r="A39" s="29" t="s">
        <v>53</v>
      </c>
      <c r="B39">
        <f>AVERAGE(B37:E37)</f>
        <v>-0.19554129682408394</v>
      </c>
      <c r="C39" s="23">
        <f>AVERAGE(C38:E38)</f>
        <v>-1.4856503329591547E-2</v>
      </c>
      <c r="H39">
        <f>AVERAGE(H37:M37)</f>
        <v>-0.25424644831192877</v>
      </c>
      <c r="I39" s="23">
        <f>AVERAGE(I38:M38)</f>
        <v>-2.9167117479336466E-2</v>
      </c>
      <c r="M39" s="23"/>
      <c r="O39" s="23"/>
      <c r="Q39" s="23"/>
    </row>
    <row r="40" spans="1:17" x14ac:dyDescent="0.3">
      <c r="A40" s="29" t="s">
        <v>52</v>
      </c>
      <c r="B40" t="e">
        <f>STDEV(B37:E37)</f>
        <v>#DIV/0!</v>
      </c>
      <c r="C40" s="23" t="e">
        <f>STDEV(C38:E38)</f>
        <v>#DIV/0!</v>
      </c>
      <c r="H40">
        <f>STDEV(H37:M37)</f>
        <v>0.3483802193543884</v>
      </c>
      <c r="I40" s="23">
        <f>STDEV(I38:M38)</f>
        <v>3.1734868405218594E-2</v>
      </c>
      <c r="M40" s="23"/>
      <c r="O40" s="23"/>
      <c r="Q40" s="23"/>
    </row>
    <row r="41" spans="1:17" x14ac:dyDescent="0.3">
      <c r="C41" s="23"/>
      <c r="I41" s="23"/>
      <c r="M41" s="23"/>
      <c r="O41" s="23"/>
      <c r="Q41" s="23"/>
    </row>
    <row r="42" spans="1:17" x14ac:dyDescent="0.3">
      <c r="A42" s="7" t="s">
        <v>43</v>
      </c>
      <c r="C42" s="162">
        <f>MOD(C9-$C32,360)</f>
        <v>320.37752264462677</v>
      </c>
      <c r="E42" s="4">
        <f>MOD(E9-$C32,360)</f>
        <v>269.95383406509791</v>
      </c>
      <c r="G42" s="4">
        <f>MOD(G9-$C32,360)</f>
        <v>270.18941129115547</v>
      </c>
      <c r="I42" s="162">
        <f>MOD(I9-$C32,360)</f>
        <v>62.619084333592411</v>
      </c>
      <c r="K42" s="4">
        <f>MOD(K9-$C32,360)</f>
        <v>271.59069803845523</v>
      </c>
      <c r="M42" s="176">
        <f>MOD(M9-$C32,360)</f>
        <v>352.49308109227405</v>
      </c>
      <c r="O42" s="162">
        <f>MOD(O9-$C32,360)</f>
        <v>230.79831759836514</v>
      </c>
      <c r="Q42" s="162">
        <f>MOD(Q9-$C32,360)</f>
        <v>113.32884460840796</v>
      </c>
    </row>
    <row r="43" spans="1:17" x14ac:dyDescent="0.3">
      <c r="A43" t="s">
        <v>55</v>
      </c>
      <c r="C43" s="4">
        <f>C42-C17</f>
        <v>-0.72247735537325752</v>
      </c>
      <c r="E43" s="4">
        <f>MOD(E42-E17,360)</f>
        <v>359.95383406509791</v>
      </c>
      <c r="G43" s="4">
        <f>MOD(G42-G17,360)</f>
        <v>0.18941129115546573</v>
      </c>
      <c r="I43" s="4">
        <f>I42-I17</f>
        <v>-3.3809156664075886</v>
      </c>
      <c r="K43" s="4">
        <f>K42-K17</f>
        <v>361.59069803845523</v>
      </c>
      <c r="M43" s="4">
        <f>M42-M17</f>
        <v>32.38308109227404</v>
      </c>
      <c r="O43" s="4">
        <f>O42-O17</f>
        <v>1.5483175983651449</v>
      </c>
      <c r="Q43" s="4">
        <f>Q42-Q17</f>
        <v>-2.6711553915920376</v>
      </c>
    </row>
    <row r="44" spans="1:17" x14ac:dyDescent="0.3">
      <c r="A44" t="s">
        <v>56</v>
      </c>
      <c r="B44">
        <f>AVERAGE(B43:E43)</f>
        <v>179.61567835486233</v>
      </c>
      <c r="C44" s="4"/>
      <c r="E44" s="106"/>
      <c r="G44" s="106"/>
      <c r="H44">
        <f>AVERAGE(H43:M43)</f>
        <v>130.19762115477388</v>
      </c>
      <c r="I44" s="4"/>
      <c r="K44" s="106"/>
      <c r="M44" s="4"/>
      <c r="O44" s="4"/>
      <c r="Q44" s="4"/>
    </row>
    <row r="45" spans="1:17" x14ac:dyDescent="0.3">
      <c r="A45" t="s">
        <v>57</v>
      </c>
      <c r="B45">
        <f>STDEV(B43:E43)</f>
        <v>255.03666561876619</v>
      </c>
      <c r="C45" s="4"/>
      <c r="H45">
        <f>STDEV(H43:M43)</f>
        <v>201.18855058951962</v>
      </c>
      <c r="I45" s="4"/>
      <c r="M45" s="4"/>
      <c r="O45" s="4"/>
      <c r="Q45" s="4"/>
    </row>
    <row r="46" spans="1:17" x14ac:dyDescent="0.3">
      <c r="C46" s="4"/>
      <c r="I46" s="4"/>
      <c r="M46" s="4"/>
      <c r="O46" s="4"/>
      <c r="Q46" s="4"/>
    </row>
    <row r="47" spans="1:17" x14ac:dyDescent="0.3">
      <c r="A47" t="s">
        <v>44</v>
      </c>
      <c r="B47" s="9">
        <f>-C36*SIN((C42)/180*PI())</f>
        <v>8.2690506438070575</v>
      </c>
      <c r="C47" s="9">
        <f>C36*COS((C42)/180*PI())</f>
        <v>9.9875849308689535</v>
      </c>
      <c r="H47" s="9">
        <f>-I36*SIN((I42)/180*PI())</f>
        <v>-8.1687887783382838</v>
      </c>
      <c r="I47" s="9">
        <f>I36*COS((I42)/180*PI())</f>
        <v>4.23084654724898</v>
      </c>
      <c r="L47" s="9">
        <f>-M36*SIN((M42)/180*PI())</f>
        <v>0.15247626931064676</v>
      </c>
      <c r="M47" s="9">
        <f>M36*COS((M42)/180*PI())</f>
        <v>1.1570924986071436</v>
      </c>
      <c r="N47" s="9">
        <f>-O36*SIN((O42)/180*PI())</f>
        <v>1.9259218694356859</v>
      </c>
      <c r="O47" s="9">
        <f>O36*COS((O42)/180*PI())</f>
        <v>-1.5708377190738165</v>
      </c>
      <c r="P47" s="9">
        <f>-Q36*SIN((Q42)/180*PI())</f>
        <v>-6.6405807306183524</v>
      </c>
      <c r="Q47" s="9">
        <f>Q36*COS((Q42)/180*PI())</f>
        <v>-2.8638498946286148</v>
      </c>
    </row>
    <row r="48" spans="1:17" s="10" customFormat="1" x14ac:dyDescent="0.3">
      <c r="A48" t="s">
        <v>45</v>
      </c>
      <c r="B48" s="9">
        <f>B47-B18</f>
        <v>3.8008790264747461E-3</v>
      </c>
      <c r="C48" s="9">
        <f>C47-C18</f>
        <v>-0.25565139003053794</v>
      </c>
      <c r="D48" s="49"/>
      <c r="E48" s="49"/>
      <c r="F48" s="49"/>
      <c r="G48" s="49"/>
      <c r="H48" s="9">
        <f>H47-H18</f>
        <v>0.69260216079494441</v>
      </c>
      <c r="I48" s="9">
        <f>I47-I18</f>
        <v>0.28550110941371676</v>
      </c>
      <c r="J48" s="49"/>
      <c r="K48" s="49"/>
      <c r="L48" s="9">
        <f t="shared" ref="L48:Q48" si="4">L47-L18</f>
        <v>-0.60106970900013668</v>
      </c>
      <c r="M48" s="9">
        <f t="shared" si="4"/>
        <v>0.25554191290956652</v>
      </c>
      <c r="N48" s="9">
        <f t="shared" si="4"/>
        <v>-4.2231959994074364E-2</v>
      </c>
      <c r="O48" s="9">
        <f t="shared" si="4"/>
        <v>0.12503211782433676</v>
      </c>
      <c r="P48" s="9">
        <f t="shared" si="4"/>
        <v>0.10037461662539915</v>
      </c>
      <c r="Q48" s="9">
        <f t="shared" si="4"/>
        <v>0.42393370628946636</v>
      </c>
    </row>
    <row r="49" spans="1:17" x14ac:dyDescent="0.3">
      <c r="A49" t="s">
        <v>46</v>
      </c>
      <c r="B49">
        <f>B48^2</f>
        <v>1.4446681373895613E-5</v>
      </c>
      <c r="C49">
        <f>C48^2</f>
        <v>6.5357633224546227E-2</v>
      </c>
      <c r="H49">
        <f>H48^2</f>
        <v>0.47969775313782603</v>
      </c>
      <c r="I49">
        <f>I48^2</f>
        <v>8.151088347646307E-2</v>
      </c>
      <c r="L49">
        <f t="shared" ref="L49:Q49" si="5">L48^2</f>
        <v>0.36128479507750899</v>
      </c>
      <c r="M49">
        <f t="shared" si="5"/>
        <v>6.5301669253480479E-2</v>
      </c>
      <c r="N49">
        <f t="shared" si="5"/>
        <v>1.7835384449410975E-3</v>
      </c>
      <c r="O49">
        <f t="shared" si="5"/>
        <v>1.5633030487638831E-2</v>
      </c>
      <c r="P49">
        <f t="shared" si="5"/>
        <v>1.0075063662695855E-2</v>
      </c>
      <c r="Q49">
        <f t="shared" si="5"/>
        <v>0.17971978732832353</v>
      </c>
    </row>
    <row r="50" spans="1:17" s="10" customFormat="1" x14ac:dyDescent="0.3">
      <c r="A50" t="s">
        <v>47</v>
      </c>
      <c r="B50" s="9"/>
      <c r="C50" s="9">
        <f>SQRT(B49+C49)</f>
        <v>0.25567964311990132</v>
      </c>
      <c r="D50" s="49"/>
      <c r="E50" s="49"/>
      <c r="F50" s="49"/>
      <c r="G50" s="49"/>
      <c r="H50" s="9"/>
      <c r="I50" s="9">
        <f>SQRT(H49+I49)</f>
        <v>0.74913859639874991</v>
      </c>
      <c r="J50" s="49"/>
      <c r="K50" s="49"/>
      <c r="L50" s="9"/>
      <c r="M50" s="9">
        <f>SQRT(L49+M49)</f>
        <v>0.65313586973231641</v>
      </c>
      <c r="N50" s="9"/>
      <c r="O50" s="9">
        <f>SQRT(N49+O49)</f>
        <v>0.13197184901553791</v>
      </c>
      <c r="P50" s="9"/>
      <c r="Q50" s="9">
        <f>SQRT(P49+Q49)</f>
        <v>0.4356545087463452</v>
      </c>
    </row>
    <row r="51" spans="1:17" s="10" customFormat="1" x14ac:dyDescent="0.3">
      <c r="A51" t="s">
        <v>48</v>
      </c>
      <c r="B51" s="9"/>
      <c r="C51" s="11">
        <f>C50/C36</f>
        <v>1.9718540657309686E-2</v>
      </c>
      <c r="D51" s="49"/>
      <c r="E51" s="49"/>
      <c r="F51" s="49"/>
      <c r="G51" s="49"/>
      <c r="H51" s="9"/>
      <c r="I51" s="11">
        <f>I50/I36</f>
        <v>8.1433317061078037E-2</v>
      </c>
      <c r="J51" s="49"/>
      <c r="K51" s="49"/>
      <c r="L51" s="9"/>
      <c r="M51" s="11">
        <f>M50/M36</f>
        <v>0.55962501107375351</v>
      </c>
      <c r="N51" s="9"/>
      <c r="O51" s="11">
        <f>O50/O36</f>
        <v>5.3101015897990676E-2</v>
      </c>
      <c r="P51" s="9"/>
      <c r="Q51" s="11">
        <f>Q50/Q36</f>
        <v>6.0241493984378204E-2</v>
      </c>
    </row>
    <row r="52" spans="1:17" s="10" customFormat="1" x14ac:dyDescent="0.3">
      <c r="A52"/>
      <c r="B52" s="9"/>
      <c r="C52" s="12"/>
      <c r="D52" s="49"/>
      <c r="E52" s="49"/>
      <c r="F52" s="49"/>
      <c r="G52" s="49"/>
      <c r="H52" s="9"/>
      <c r="I52" s="12"/>
      <c r="J52" s="49"/>
      <c r="K52" s="49"/>
      <c r="L52" s="9"/>
      <c r="M52" s="12"/>
      <c r="N52" s="9"/>
      <c r="O52" s="12"/>
      <c r="P52" s="9"/>
      <c r="Q52" s="12"/>
    </row>
    <row r="53" spans="1:17" s="10" customFormat="1" x14ac:dyDescent="0.3">
      <c r="A53" t="s">
        <v>89</v>
      </c>
      <c r="B53" s="71">
        <f>MEDIAN(B50:K50,O50:Q50)</f>
        <v>0.34566707593312329</v>
      </c>
      <c r="C53" s="12"/>
      <c r="D53" s="49"/>
      <c r="E53" s="49"/>
      <c r="F53" s="49"/>
      <c r="G53" s="49"/>
      <c r="H53" s="9"/>
      <c r="I53" s="12"/>
      <c r="J53" s="49"/>
      <c r="K53" s="49"/>
      <c r="L53" s="9"/>
      <c r="M53" s="12"/>
      <c r="N53" s="9"/>
      <c r="O53" s="12"/>
      <c r="P53" s="9"/>
      <c r="Q53" s="12"/>
    </row>
    <row r="54" spans="1:17" s="10" customFormat="1" x14ac:dyDescent="0.3">
      <c r="A54" t="s">
        <v>81</v>
      </c>
      <c r="B54" s="71">
        <f>AVERAGE(B50:K50,O50:Q50)</f>
        <v>0.39311114932013363</v>
      </c>
      <c r="C54" s="12"/>
      <c r="D54" s="49"/>
      <c r="E54" s="49"/>
      <c r="F54" s="49"/>
      <c r="G54" s="49"/>
      <c r="H54" s="9"/>
      <c r="I54" s="12"/>
      <c r="J54" s="49"/>
      <c r="K54" s="49"/>
      <c r="L54" s="9"/>
      <c r="M54" s="12"/>
      <c r="N54" s="9"/>
      <c r="O54" s="12"/>
      <c r="P54" s="9"/>
      <c r="Q54" s="12"/>
    </row>
    <row r="55" spans="1:17" s="10" customFormat="1" x14ac:dyDescent="0.3">
      <c r="A55" t="s">
        <v>82</v>
      </c>
      <c r="B55" s="71">
        <f>STDEV(B50:K50,O50:Q50)</f>
        <v>0.26810858096712914</v>
      </c>
      <c r="C55" s="12"/>
      <c r="D55" s="49"/>
      <c r="E55" s="49"/>
      <c r="F55" s="49"/>
      <c r="G55" s="49"/>
      <c r="H55" s="9"/>
      <c r="I55" s="12"/>
      <c r="J55" s="49"/>
      <c r="K55" s="49"/>
      <c r="L55" s="9"/>
      <c r="M55" s="12"/>
      <c r="N55" s="9"/>
      <c r="O55" s="12"/>
      <c r="P55" s="9"/>
      <c r="Q55" s="12"/>
    </row>
    <row r="56" spans="1:17" s="10" customFormat="1" x14ac:dyDescent="0.3">
      <c r="A56" t="s">
        <v>83</v>
      </c>
      <c r="B56" s="9"/>
      <c r="C56" s="12"/>
      <c r="D56" s="49"/>
      <c r="E56" s="49"/>
      <c r="F56" s="49"/>
      <c r="G56" s="49"/>
      <c r="H56" s="9"/>
      <c r="I56" s="12"/>
      <c r="J56" s="49"/>
      <c r="K56" s="49"/>
      <c r="L56" s="9"/>
      <c r="M56" s="12"/>
      <c r="N56" s="9"/>
      <c r="O56" s="12"/>
      <c r="P56" s="9"/>
      <c r="Q56" s="12"/>
    </row>
    <row r="57" spans="1:17" s="10" customFormat="1" x14ac:dyDescent="0.3">
      <c r="A57"/>
      <c r="B57" s="9"/>
      <c r="C57" s="9"/>
      <c r="D57" s="49"/>
      <c r="E57" s="49"/>
      <c r="F57" s="49"/>
      <c r="G57" s="49"/>
      <c r="H57" s="9"/>
      <c r="I57" s="9"/>
      <c r="J57" s="49"/>
      <c r="K57" s="49"/>
      <c r="L57" s="9"/>
      <c r="M57" s="9"/>
      <c r="N57" s="9"/>
      <c r="O57" s="9"/>
    </row>
    <row r="58" spans="1:17" s="10" customFormat="1" x14ac:dyDescent="0.3">
      <c r="B58" s="7"/>
      <c r="C58" s="7"/>
      <c r="D58" s="49"/>
      <c r="E58" s="49"/>
      <c r="F58" s="49"/>
      <c r="G58" s="49"/>
      <c r="H58" s="7"/>
      <c r="I58" s="7"/>
      <c r="J58" s="49"/>
      <c r="K58" s="49"/>
      <c r="L58" s="7"/>
      <c r="M58" s="7"/>
      <c r="N58" s="7"/>
      <c r="O58" s="7"/>
    </row>
    <row r="59" spans="1:17" x14ac:dyDescent="0.3">
      <c r="A59" s="7" t="s">
        <v>115</v>
      </c>
      <c r="H59" s="110"/>
      <c r="L59" s="110"/>
      <c r="N59" s="110"/>
    </row>
    <row r="60" spans="1:17" x14ac:dyDescent="0.3">
      <c r="A60" s="10" t="s">
        <v>116</v>
      </c>
    </row>
    <row r="61" spans="1:17" x14ac:dyDescent="0.3">
      <c r="A61" s="10" t="s">
        <v>117</v>
      </c>
      <c r="H61" s="4"/>
      <c r="L61" s="4"/>
      <c r="N61" s="4"/>
    </row>
    <row r="62" spans="1:17" x14ac:dyDescent="0.3">
      <c r="A62" s="10" t="s">
        <v>118</v>
      </c>
    </row>
  </sheetData>
  <mergeCells count="15">
    <mergeCell ref="B34:C34"/>
    <mergeCell ref="H34:I34"/>
    <mergeCell ref="L34:M34"/>
    <mergeCell ref="N34:O34"/>
    <mergeCell ref="N19:O19"/>
    <mergeCell ref="L19:M19"/>
    <mergeCell ref="N10:O10"/>
    <mergeCell ref="B10:C10"/>
    <mergeCell ref="D10:E10"/>
    <mergeCell ref="B19:C19"/>
    <mergeCell ref="H19:I19"/>
    <mergeCell ref="H10:I10"/>
    <mergeCell ref="J10:K10"/>
    <mergeCell ref="L10:M10"/>
    <mergeCell ref="F10:G10"/>
  </mergeCells>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2"/>
  <sheetViews>
    <sheetView zoomScale="85" zoomScaleNormal="85" workbookViewId="0">
      <pane xSplit="1" ySplit="2" topLeftCell="B27" activePane="bottomRight" state="frozenSplit"/>
      <selection pane="topRight"/>
      <selection pane="bottomLeft" activeCell="A3" sqref="A3"/>
      <selection pane="bottomRight" activeCell="B28" sqref="B28:B29"/>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1" width="11.6640625" customWidth="1"/>
    <col min="12" max="13" width="9.109375" style="49" customWidth="1"/>
    <col min="14" max="19" width="11.6640625" customWidth="1"/>
    <col min="20" max="21" width="9.109375" style="49" customWidth="1"/>
    <col min="22" max="25" width="11.6640625" customWidth="1"/>
    <col min="26" max="27" width="9.109375" style="49" customWidth="1"/>
  </cols>
  <sheetData>
    <row r="1" spans="1:27" s="19" customFormat="1" x14ac:dyDescent="0.3">
      <c r="A1" s="20" t="s">
        <v>39</v>
      </c>
      <c r="B1" s="113"/>
      <c r="C1" s="114"/>
      <c r="D1" s="59"/>
      <c r="E1" s="59"/>
      <c r="F1" s="114"/>
      <c r="G1" s="114"/>
      <c r="H1" s="59"/>
      <c r="I1" s="60"/>
      <c r="J1" s="113"/>
      <c r="K1" s="114"/>
      <c r="L1" s="59"/>
      <c r="M1" s="59"/>
      <c r="N1" s="114"/>
      <c r="O1" s="114"/>
      <c r="P1" s="114"/>
      <c r="Q1" s="150"/>
      <c r="R1" s="113"/>
      <c r="S1" s="114"/>
      <c r="T1" s="59"/>
      <c r="U1" s="60"/>
      <c r="V1" s="113"/>
      <c r="W1" s="150"/>
      <c r="X1" s="113"/>
      <c r="Y1" s="114"/>
      <c r="Z1" s="59"/>
      <c r="AA1" s="60"/>
    </row>
    <row r="2" spans="1:27" s="13" customFormat="1" x14ac:dyDescent="0.3">
      <c r="B2" s="115"/>
      <c r="C2" s="116" t="s">
        <v>195</v>
      </c>
      <c r="D2" s="61"/>
      <c r="E2" s="61" t="s">
        <v>196</v>
      </c>
      <c r="F2" s="116"/>
      <c r="G2" s="116" t="s">
        <v>197</v>
      </c>
      <c r="H2" s="61"/>
      <c r="I2" s="62" t="s">
        <v>198</v>
      </c>
      <c r="J2" s="115"/>
      <c r="K2" s="116" t="s">
        <v>199</v>
      </c>
      <c r="L2" s="61"/>
      <c r="M2" s="61" t="s">
        <v>202</v>
      </c>
      <c r="N2" s="116"/>
      <c r="O2" s="116" t="s">
        <v>201</v>
      </c>
      <c r="P2" s="61"/>
      <c r="Q2" s="62" t="s">
        <v>200</v>
      </c>
      <c r="R2" s="115"/>
      <c r="S2" s="116" t="s">
        <v>203</v>
      </c>
      <c r="T2" s="61"/>
      <c r="U2" s="62" t="s">
        <v>204</v>
      </c>
      <c r="V2" s="115"/>
      <c r="W2" s="151" t="s">
        <v>205</v>
      </c>
      <c r="X2" s="115"/>
      <c r="Y2" s="116" t="s">
        <v>206</v>
      </c>
      <c r="Z2" s="61"/>
      <c r="AA2" s="62" t="s">
        <v>207</v>
      </c>
    </row>
    <row r="3" spans="1:27" s="13" customFormat="1" x14ac:dyDescent="0.3">
      <c r="B3" s="115" t="s">
        <v>61</v>
      </c>
      <c r="C3" s="116" t="s">
        <v>60</v>
      </c>
      <c r="D3" s="61"/>
      <c r="E3" s="61"/>
      <c r="F3" s="116" t="s">
        <v>61</v>
      </c>
      <c r="G3" s="116" t="s">
        <v>60</v>
      </c>
      <c r="H3" s="61"/>
      <c r="I3" s="62"/>
      <c r="J3" s="115" t="s">
        <v>61</v>
      </c>
      <c r="K3" s="116" t="s">
        <v>60</v>
      </c>
      <c r="L3" s="61"/>
      <c r="M3" s="61"/>
      <c r="N3" s="116" t="s">
        <v>61</v>
      </c>
      <c r="O3" s="116" t="s">
        <v>60</v>
      </c>
      <c r="P3" s="116"/>
      <c r="Q3" s="151"/>
      <c r="R3" s="115" t="s">
        <v>61</v>
      </c>
      <c r="S3" s="116" t="s">
        <v>60</v>
      </c>
      <c r="T3" s="61"/>
      <c r="U3" s="62"/>
      <c r="V3" s="115" t="s">
        <v>61</v>
      </c>
      <c r="W3" s="151" t="s">
        <v>60</v>
      </c>
      <c r="X3" s="115" t="s">
        <v>61</v>
      </c>
      <c r="Y3" s="116" t="s">
        <v>60</v>
      </c>
      <c r="Z3" s="61"/>
      <c r="AA3" s="62"/>
    </row>
    <row r="4" spans="1:27" x14ac:dyDescent="0.3">
      <c r="A4" t="s">
        <v>1</v>
      </c>
      <c r="B4" s="117">
        <v>499</v>
      </c>
      <c r="C4" s="118">
        <v>528</v>
      </c>
      <c r="D4" s="63">
        <v>461</v>
      </c>
      <c r="E4" s="63">
        <v>662</v>
      </c>
      <c r="F4" s="118">
        <v>478</v>
      </c>
      <c r="G4" s="118">
        <v>555</v>
      </c>
      <c r="H4" s="63">
        <v>830</v>
      </c>
      <c r="I4" s="64">
        <v>398</v>
      </c>
      <c r="J4" s="117">
        <v>580</v>
      </c>
      <c r="K4" s="118">
        <v>488</v>
      </c>
      <c r="L4" s="63">
        <v>903</v>
      </c>
      <c r="M4" s="63">
        <v>490</v>
      </c>
      <c r="N4" s="118">
        <v>618</v>
      </c>
      <c r="O4" s="118">
        <v>393</v>
      </c>
      <c r="P4" s="63">
        <v>576</v>
      </c>
      <c r="Q4" s="64">
        <v>626</v>
      </c>
      <c r="R4" s="117">
        <v>744.20100000000002</v>
      </c>
      <c r="S4" s="118">
        <f>960-472.207</f>
        <v>487.79300000000001</v>
      </c>
      <c r="T4" s="63">
        <v>727</v>
      </c>
      <c r="U4" s="64">
        <v>699</v>
      </c>
      <c r="V4" s="117">
        <v>754.42899999999997</v>
      </c>
      <c r="W4" s="128">
        <f>960-542.892</f>
        <v>417.10799999999995</v>
      </c>
      <c r="X4" s="117">
        <v>638.81399999999996</v>
      </c>
      <c r="Y4" s="118">
        <f>960-513.105</f>
        <v>446.89499999999998</v>
      </c>
      <c r="Z4" s="63">
        <v>643</v>
      </c>
      <c r="AA4" s="64">
        <v>733</v>
      </c>
    </row>
    <row r="5" spans="1:27" x14ac:dyDescent="0.3">
      <c r="A5" t="s">
        <v>2</v>
      </c>
      <c r="B5" s="117">
        <v>502</v>
      </c>
      <c r="C5" s="118">
        <v>517</v>
      </c>
      <c r="D5" s="63">
        <v>453</v>
      </c>
      <c r="E5" s="63">
        <v>10</v>
      </c>
      <c r="F5" s="74">
        <v>489</v>
      </c>
      <c r="G5" s="74">
        <v>556</v>
      </c>
      <c r="H5" s="63">
        <v>205</v>
      </c>
      <c r="I5" s="64">
        <v>494</v>
      </c>
      <c r="J5" s="73">
        <v>587</v>
      </c>
      <c r="K5" s="74">
        <v>494</v>
      </c>
      <c r="L5" s="63">
        <v>275</v>
      </c>
      <c r="M5" s="63">
        <v>585</v>
      </c>
      <c r="N5" s="74">
        <v>611</v>
      </c>
      <c r="O5" s="74">
        <v>399</v>
      </c>
      <c r="P5" s="63">
        <v>591</v>
      </c>
      <c r="Q5" s="64">
        <v>0</v>
      </c>
      <c r="R5" s="73">
        <v>721.90200000000004</v>
      </c>
      <c r="S5" s="74">
        <f>960-438.237</f>
        <v>521.76299999999992</v>
      </c>
      <c r="T5" s="63">
        <v>750</v>
      </c>
      <c r="U5" s="64">
        <v>153</v>
      </c>
      <c r="V5" s="73">
        <v>795.27099999999996</v>
      </c>
      <c r="W5" s="138">
        <f>960-508.641</f>
        <v>451.35899999999998</v>
      </c>
      <c r="X5" s="73">
        <v>618.93399999999997</v>
      </c>
      <c r="Y5" s="74">
        <f>960-463.41</f>
        <v>496.59</v>
      </c>
      <c r="Z5" s="63">
        <v>668</v>
      </c>
      <c r="AA5" s="64">
        <v>132</v>
      </c>
    </row>
    <row r="6" spans="1:27" x14ac:dyDescent="0.3">
      <c r="A6" t="s">
        <v>4</v>
      </c>
      <c r="B6" s="117">
        <f>B5-B4</f>
        <v>3</v>
      </c>
      <c r="C6" s="118">
        <f>C5-C4</f>
        <v>-11</v>
      </c>
      <c r="D6" s="63">
        <f>D5-D4</f>
        <v>-8</v>
      </c>
      <c r="E6" s="63">
        <f>E5-E4</f>
        <v>-652</v>
      </c>
      <c r="F6" s="74">
        <f t="shared" ref="F6:AA6" si="0">F5-F4</f>
        <v>11</v>
      </c>
      <c r="G6" s="74">
        <f t="shared" si="0"/>
        <v>1</v>
      </c>
      <c r="H6" s="63">
        <f t="shared" si="0"/>
        <v>-625</v>
      </c>
      <c r="I6" s="64">
        <f t="shared" si="0"/>
        <v>96</v>
      </c>
      <c r="J6" s="73">
        <f t="shared" si="0"/>
        <v>7</v>
      </c>
      <c r="K6" s="74">
        <f t="shared" si="0"/>
        <v>6</v>
      </c>
      <c r="L6" s="63">
        <f t="shared" si="0"/>
        <v>-628</v>
      </c>
      <c r="M6" s="63">
        <f t="shared" si="0"/>
        <v>95</v>
      </c>
      <c r="N6" s="74">
        <f t="shared" si="0"/>
        <v>-7</v>
      </c>
      <c r="O6" s="74">
        <f t="shared" si="0"/>
        <v>6</v>
      </c>
      <c r="P6" s="63">
        <f t="shared" si="0"/>
        <v>15</v>
      </c>
      <c r="Q6" s="64">
        <f t="shared" si="0"/>
        <v>-626</v>
      </c>
      <c r="R6" s="73">
        <f t="shared" si="0"/>
        <v>-22.298999999999978</v>
      </c>
      <c r="S6" s="74">
        <f t="shared" si="0"/>
        <v>33.969999999999914</v>
      </c>
      <c r="T6" s="63">
        <f t="shared" si="0"/>
        <v>23</v>
      </c>
      <c r="U6" s="64">
        <f t="shared" si="0"/>
        <v>-546</v>
      </c>
      <c r="V6" s="73">
        <f t="shared" si="0"/>
        <v>40.841999999999985</v>
      </c>
      <c r="W6" s="138">
        <f t="shared" si="0"/>
        <v>34.251000000000033</v>
      </c>
      <c r="X6" s="73">
        <f t="shared" si="0"/>
        <v>-19.879999999999995</v>
      </c>
      <c r="Y6" s="74">
        <f t="shared" si="0"/>
        <v>49.694999999999993</v>
      </c>
      <c r="Z6" s="63">
        <f t="shared" si="0"/>
        <v>25</v>
      </c>
      <c r="AA6" s="64">
        <f t="shared" si="0"/>
        <v>-601</v>
      </c>
    </row>
    <row r="7" spans="1:27" x14ac:dyDescent="0.3">
      <c r="A7" t="s">
        <v>5</v>
      </c>
      <c r="B7" s="117">
        <f>B6^2</f>
        <v>9</v>
      </c>
      <c r="C7" s="118">
        <f>C6^2</f>
        <v>121</v>
      </c>
      <c r="D7" s="63">
        <f>D6^2</f>
        <v>64</v>
      </c>
      <c r="E7" s="63">
        <f>E6^2</f>
        <v>425104</v>
      </c>
      <c r="F7" s="74">
        <f t="shared" ref="F7:AA7" si="1">F6^2</f>
        <v>121</v>
      </c>
      <c r="G7" s="74">
        <f t="shared" si="1"/>
        <v>1</v>
      </c>
      <c r="H7" s="63">
        <f t="shared" si="1"/>
        <v>390625</v>
      </c>
      <c r="I7" s="64">
        <f t="shared" si="1"/>
        <v>9216</v>
      </c>
      <c r="J7" s="73">
        <f t="shared" si="1"/>
        <v>49</v>
      </c>
      <c r="K7" s="74">
        <f t="shared" si="1"/>
        <v>36</v>
      </c>
      <c r="L7" s="63">
        <f t="shared" si="1"/>
        <v>394384</v>
      </c>
      <c r="M7" s="63">
        <f t="shared" si="1"/>
        <v>9025</v>
      </c>
      <c r="N7" s="74">
        <f t="shared" si="1"/>
        <v>49</v>
      </c>
      <c r="O7" s="74">
        <f t="shared" si="1"/>
        <v>36</v>
      </c>
      <c r="P7" s="63">
        <f t="shared" si="1"/>
        <v>225</v>
      </c>
      <c r="Q7" s="64">
        <f t="shared" si="1"/>
        <v>391876</v>
      </c>
      <c r="R7" s="73">
        <f t="shared" si="1"/>
        <v>497.24540099999905</v>
      </c>
      <c r="S7" s="74">
        <f t="shared" si="1"/>
        <v>1153.9608999999941</v>
      </c>
      <c r="T7" s="63">
        <f t="shared" si="1"/>
        <v>529</v>
      </c>
      <c r="U7" s="64">
        <f t="shared" si="1"/>
        <v>298116</v>
      </c>
      <c r="V7" s="73">
        <f t="shared" si="1"/>
        <v>1668.0689639999987</v>
      </c>
      <c r="W7" s="138">
        <f t="shared" si="1"/>
        <v>1173.1310010000022</v>
      </c>
      <c r="X7" s="73">
        <f t="shared" si="1"/>
        <v>395.21439999999984</v>
      </c>
      <c r="Y7" s="74">
        <f t="shared" si="1"/>
        <v>2469.5930249999992</v>
      </c>
      <c r="Z7" s="63">
        <f t="shared" si="1"/>
        <v>625</v>
      </c>
      <c r="AA7" s="64">
        <f t="shared" si="1"/>
        <v>361201</v>
      </c>
    </row>
    <row r="8" spans="1:27" x14ac:dyDescent="0.3">
      <c r="A8" t="s">
        <v>6</v>
      </c>
      <c r="B8" s="117"/>
      <c r="C8" s="118">
        <f>SQRT(SUM(B7:C7))</f>
        <v>11.401754250991379</v>
      </c>
      <c r="D8" s="63"/>
      <c r="E8" s="63">
        <f>SQRT(SUM(D7:E7))</f>
        <v>652.04907790748393</v>
      </c>
      <c r="F8" s="74"/>
      <c r="G8" s="74">
        <f>SQRT(SUM(F7:G7))</f>
        <v>11.045361017187261</v>
      </c>
      <c r="H8" s="63"/>
      <c r="I8" s="64">
        <f>SQRT(SUM(H7:I7))</f>
        <v>632.32981900271</v>
      </c>
      <c r="J8" s="73"/>
      <c r="K8" s="74">
        <f>SQRT(SUM(J7:K7))</f>
        <v>9.2195444572928871</v>
      </c>
      <c r="L8" s="63"/>
      <c r="M8" s="63">
        <f>SQRT(SUM(L7:M7))</f>
        <v>635.1448653653747</v>
      </c>
      <c r="N8" s="74"/>
      <c r="O8" s="74">
        <f>SQRT(SUM(N7:O7))</f>
        <v>9.2195444572928871</v>
      </c>
      <c r="P8" s="63"/>
      <c r="Q8" s="64">
        <f>SQRT(SUM(P7:Q7))</f>
        <v>626.17968667148568</v>
      </c>
      <c r="R8" s="73"/>
      <c r="S8" s="74">
        <f>SQRT(SUM(R7:S7))</f>
        <v>40.635037849127116</v>
      </c>
      <c r="T8" s="63"/>
      <c r="U8" s="64">
        <f>SQRT(SUM(T7:U7))</f>
        <v>546.48421752142121</v>
      </c>
      <c r="V8" s="73"/>
      <c r="W8" s="138">
        <f>SQRT(SUM(V7:W7))</f>
        <v>53.302907659901635</v>
      </c>
      <c r="X8" s="73"/>
      <c r="Y8" s="74">
        <f>SQRT(SUM(X7:Y7))</f>
        <v>53.523895831675027</v>
      </c>
      <c r="Z8" s="63"/>
      <c r="AA8" s="64">
        <f>SQRT(SUM(Z7:AA7))</f>
        <v>601.51974198691107</v>
      </c>
    </row>
    <row r="9" spans="1:27" x14ac:dyDescent="0.3">
      <c r="A9" t="s">
        <v>7</v>
      </c>
      <c r="B9" s="117"/>
      <c r="C9" s="118">
        <f>MOD(ATAN2(C6,B6)*180/PI()+270,360)</f>
        <v>74.744881296942253</v>
      </c>
      <c r="D9" s="63"/>
      <c r="E9" s="63">
        <f>MOD(ATAN2(E6,D6)*180/PI()+270,360)</f>
        <v>90.702980422735578</v>
      </c>
      <c r="F9" s="74"/>
      <c r="G9" s="74">
        <f>MOD(ATAN2(G6,F6)*180/PI()+270,360)</f>
        <v>354.80557109226521</v>
      </c>
      <c r="H9" s="63"/>
      <c r="I9" s="64">
        <f>MOD(ATAN2(I6,H6)*180/PI()+270,360)</f>
        <v>188.73238427087344</v>
      </c>
      <c r="J9" s="73"/>
      <c r="K9" s="74">
        <f>MOD(ATAN2(K6,J6)*180/PI()+270,360)</f>
        <v>319.39870535499551</v>
      </c>
      <c r="L9" s="63"/>
      <c r="M9" s="63">
        <f>MOD(ATAN2(M6,L6)*180/PI()+270,360)</f>
        <v>188.60213439142609</v>
      </c>
      <c r="N9" s="74"/>
      <c r="O9" s="74">
        <f>MOD(ATAN2(O6,N6)*180/PI()+270,360)</f>
        <v>220.60129464500446</v>
      </c>
      <c r="P9" s="63"/>
      <c r="Q9" s="64">
        <f>MOD(ATAN2(Q6,P6)*180/PI()+270,360)</f>
        <v>88.627360600214217</v>
      </c>
      <c r="R9" s="73"/>
      <c r="S9" s="74">
        <f>MOD(ATAN2(S6,R6)*180/PI()+270,360)</f>
        <v>236.71781797176794</v>
      </c>
      <c r="T9" s="63"/>
      <c r="U9" s="64">
        <f>MOD(ATAN2(U6,T6)*180/PI()+270,360)</f>
        <v>87.587867605694214</v>
      </c>
      <c r="V9" s="73"/>
      <c r="W9" s="138">
        <f>MOD(ATAN2(W6,V6)*180/PI()+270,360)</f>
        <v>320.01606272515039</v>
      </c>
      <c r="X9" s="73"/>
      <c r="Y9" s="74">
        <f>MOD(ATAN2(Y6,X6)*180/PI()+270,360)</f>
        <v>248.19660269886199</v>
      </c>
      <c r="Z9" s="63"/>
      <c r="AA9" s="64">
        <f>MOD(ATAN2(AA6,Z6)*180/PI()+270,360)</f>
        <v>87.618021349874311</v>
      </c>
    </row>
    <row r="10" spans="1:27" s="17" customFormat="1" ht="117" customHeight="1" x14ac:dyDescent="0.3">
      <c r="A10" s="16" t="s">
        <v>40</v>
      </c>
      <c r="B10" s="383" t="s">
        <v>213</v>
      </c>
      <c r="C10" s="384"/>
      <c r="D10" s="385"/>
      <c r="E10" s="385"/>
      <c r="F10" s="408" t="s">
        <v>216</v>
      </c>
      <c r="G10" s="408"/>
      <c r="H10" s="382"/>
      <c r="I10" s="409"/>
      <c r="J10" s="408" t="s">
        <v>216</v>
      </c>
      <c r="K10" s="408"/>
      <c r="L10" s="382"/>
      <c r="M10" s="382"/>
      <c r="N10" s="408" t="s">
        <v>217</v>
      </c>
      <c r="O10" s="408"/>
      <c r="P10" s="411"/>
      <c r="Q10" s="412"/>
      <c r="R10" s="383" t="s">
        <v>208</v>
      </c>
      <c r="S10" s="384"/>
      <c r="T10" s="382" t="s">
        <v>209</v>
      </c>
      <c r="U10" s="409"/>
      <c r="V10" s="383" t="s">
        <v>208</v>
      </c>
      <c r="W10" s="413"/>
      <c r="X10" s="383" t="s">
        <v>208</v>
      </c>
      <c r="Y10" s="384"/>
      <c r="Z10" s="382"/>
      <c r="AA10" s="409"/>
    </row>
    <row r="11" spans="1:27" s="19" customFormat="1" x14ac:dyDescent="0.3">
      <c r="A11" s="20" t="s">
        <v>37</v>
      </c>
      <c r="B11" s="119"/>
      <c r="C11" s="120"/>
      <c r="D11" s="67"/>
      <c r="E11" s="67"/>
      <c r="F11" s="120"/>
      <c r="G11" s="120"/>
      <c r="H11" s="67"/>
      <c r="I11" s="68"/>
      <c r="J11" s="119"/>
      <c r="K11" s="120"/>
      <c r="L11" s="67"/>
      <c r="M11" s="67"/>
      <c r="N11" s="120"/>
      <c r="O11" s="120"/>
      <c r="P11" s="120"/>
      <c r="Q11" s="152"/>
      <c r="R11" s="119"/>
      <c r="S11" s="120"/>
      <c r="T11" s="67"/>
      <c r="U11" s="68"/>
      <c r="V11" s="119"/>
      <c r="W11" s="152"/>
      <c r="X11" s="119"/>
      <c r="Y11" s="120"/>
      <c r="Z11" s="67"/>
      <c r="AA11" s="68"/>
    </row>
    <row r="12" spans="1:27" s="1" customFormat="1" x14ac:dyDescent="0.3">
      <c r="B12" s="121" t="s">
        <v>62</v>
      </c>
      <c r="C12" s="122" t="s">
        <v>63</v>
      </c>
      <c r="D12" s="69"/>
      <c r="E12" s="69"/>
      <c r="F12" s="122" t="s">
        <v>62</v>
      </c>
      <c r="G12" s="122" t="s">
        <v>63</v>
      </c>
      <c r="H12" s="69"/>
      <c r="I12" s="70"/>
      <c r="J12" s="121" t="s">
        <v>62</v>
      </c>
      <c r="K12" s="122" t="s">
        <v>63</v>
      </c>
      <c r="L12" s="69"/>
      <c r="M12" s="69"/>
      <c r="N12" s="122" t="s">
        <v>62</v>
      </c>
      <c r="O12" s="122" t="s">
        <v>63</v>
      </c>
      <c r="P12" s="122" t="s">
        <v>62</v>
      </c>
      <c r="Q12" s="153" t="s">
        <v>63</v>
      </c>
      <c r="R12" s="121" t="s">
        <v>62</v>
      </c>
      <c r="S12" s="122" t="s">
        <v>63</v>
      </c>
      <c r="T12" s="69"/>
      <c r="U12" s="70"/>
      <c r="V12" s="121" t="s">
        <v>62</v>
      </c>
      <c r="W12" s="153" t="s">
        <v>63</v>
      </c>
      <c r="X12" s="121" t="s">
        <v>62</v>
      </c>
      <c r="Y12" s="122" t="s">
        <v>63</v>
      </c>
      <c r="Z12" s="69"/>
      <c r="AA12" s="70"/>
    </row>
    <row r="13" spans="1:27" x14ac:dyDescent="0.3">
      <c r="A13" t="s">
        <v>18</v>
      </c>
      <c r="B13" s="117"/>
      <c r="C13" s="118"/>
      <c r="D13" s="63"/>
      <c r="E13" s="63"/>
      <c r="F13" s="118"/>
      <c r="G13" s="118"/>
      <c r="H13" s="63"/>
      <c r="I13" s="64"/>
      <c r="J13" s="117"/>
      <c r="K13" s="118"/>
      <c r="L13" s="63"/>
      <c r="M13" s="63"/>
      <c r="N13" s="118"/>
      <c r="O13" s="118"/>
      <c r="P13" s="118"/>
      <c r="Q13" s="128"/>
      <c r="R13" s="117"/>
      <c r="S13" s="118"/>
      <c r="T13" s="63"/>
      <c r="U13" s="64"/>
      <c r="V13" s="117"/>
      <c r="W13" s="128"/>
      <c r="X13" s="117"/>
      <c r="Y13" s="118"/>
      <c r="Z13" s="63"/>
      <c r="AA13" s="64"/>
    </row>
    <row r="14" spans="1:27" x14ac:dyDescent="0.3">
      <c r="A14" t="s">
        <v>17</v>
      </c>
      <c r="B14" s="117"/>
      <c r="C14" s="118"/>
      <c r="D14" s="63"/>
      <c r="E14" s="63"/>
      <c r="F14" s="118"/>
      <c r="G14" s="118"/>
      <c r="H14" s="63"/>
      <c r="I14" s="64"/>
      <c r="J14" s="117"/>
      <c r="K14" s="118"/>
      <c r="L14" s="63"/>
      <c r="M14" s="63"/>
      <c r="N14" s="118"/>
      <c r="O14" s="118"/>
      <c r="P14" s="118"/>
      <c r="Q14" s="128"/>
      <c r="R14" s="117"/>
      <c r="S14" s="118"/>
      <c r="T14" s="63"/>
      <c r="U14" s="64"/>
      <c r="V14" s="117"/>
      <c r="W14" s="128"/>
      <c r="X14" s="117"/>
      <c r="Y14" s="118"/>
      <c r="Z14" s="63"/>
      <c r="AA14" s="64"/>
    </row>
    <row r="15" spans="1:27" x14ac:dyDescent="0.3">
      <c r="A15" t="s">
        <v>14</v>
      </c>
      <c r="B15" s="117"/>
      <c r="C15" s="118"/>
      <c r="D15" s="63"/>
      <c r="E15" s="63"/>
      <c r="F15" s="118"/>
      <c r="G15" s="118"/>
      <c r="H15" s="63"/>
      <c r="I15" s="64"/>
      <c r="J15" s="117"/>
      <c r="K15" s="118"/>
      <c r="L15" s="63"/>
      <c r="M15" s="63"/>
      <c r="N15" s="118"/>
      <c r="O15" s="118"/>
      <c r="P15" s="118"/>
      <c r="Q15" s="128"/>
      <c r="R15" s="117"/>
      <c r="S15" s="118"/>
      <c r="T15" s="63"/>
      <c r="U15" s="64"/>
      <c r="V15" s="117"/>
      <c r="W15" s="128"/>
      <c r="X15" s="117"/>
      <c r="Y15" s="118"/>
      <c r="Z15" s="63"/>
      <c r="AA15" s="64"/>
    </row>
    <row r="16" spans="1:27" x14ac:dyDescent="0.3">
      <c r="A16" t="s">
        <v>13</v>
      </c>
      <c r="B16" s="117"/>
      <c r="C16" s="118">
        <v>1.7</v>
      </c>
      <c r="D16" s="63"/>
      <c r="E16" s="111">
        <f>5*15.0412*COS((-2-23/60+49/3600)*PI()/180)</f>
        <v>75.141685306760181</v>
      </c>
      <c r="F16" s="123"/>
      <c r="G16" s="118">
        <v>1.7</v>
      </c>
      <c r="H16" s="63"/>
      <c r="I16" s="124">
        <f>5*15.0412*COS((-2-23/60+49/3600)*PI()/180)</f>
        <v>75.141685306760181</v>
      </c>
      <c r="J16" s="154"/>
      <c r="K16" s="118">
        <v>1.262</v>
      </c>
      <c r="L16" s="63"/>
      <c r="M16" s="111">
        <f>5*15.0412*COS((5+56/60+52/3600)*PI()/180)</f>
        <v>74.8011476538843</v>
      </c>
      <c r="N16" s="123"/>
      <c r="O16" s="118">
        <v>1.262</v>
      </c>
      <c r="P16" s="123"/>
      <c r="Q16" s="124">
        <f>5*15.0412*COS((5+56/60+52/3600)*PI()/180)</f>
        <v>74.8011476538843</v>
      </c>
      <c r="R16" s="154"/>
      <c r="S16" s="118">
        <v>4.5810000000000004</v>
      </c>
      <c r="T16" s="111"/>
      <c r="U16" s="124">
        <f>5*15*COS((31+53/60+17/3600)*PI()/180)</f>
        <v>63.68113744935502</v>
      </c>
      <c r="V16" s="154"/>
      <c r="W16" s="128">
        <v>7.1840000000000002</v>
      </c>
      <c r="X16" s="154"/>
      <c r="Y16" s="118">
        <v>5.9160000000000004</v>
      </c>
      <c r="Z16" s="63"/>
      <c r="AA16" s="124">
        <f>5*15.0412*COS((17+38/60+51/3600)*PI()/180)</f>
        <v>71.666780530880629</v>
      </c>
    </row>
    <row r="17" spans="1:27" x14ac:dyDescent="0.3">
      <c r="A17" t="s">
        <v>7</v>
      </c>
      <c r="B17" s="117"/>
      <c r="C17" s="118">
        <v>78</v>
      </c>
      <c r="D17" s="63"/>
      <c r="E17" s="63">
        <v>90</v>
      </c>
      <c r="F17" s="123"/>
      <c r="G17" s="118">
        <v>78</v>
      </c>
      <c r="H17" s="63"/>
      <c r="I17" s="64">
        <v>-90</v>
      </c>
      <c r="J17" s="154"/>
      <c r="K17" s="118">
        <v>44.96</v>
      </c>
      <c r="L17" s="63"/>
      <c r="M17" s="63">
        <v>-90</v>
      </c>
      <c r="N17" s="123"/>
      <c r="O17" s="118">
        <v>44.96</v>
      </c>
      <c r="P17" s="123"/>
      <c r="Q17" s="64">
        <v>-90</v>
      </c>
      <c r="R17" s="154"/>
      <c r="S17" s="118">
        <v>57.66</v>
      </c>
      <c r="T17" s="63"/>
      <c r="U17" s="64">
        <v>-90</v>
      </c>
      <c r="V17" s="154"/>
      <c r="W17" s="128">
        <v>142.04</v>
      </c>
      <c r="X17" s="154"/>
      <c r="Y17" s="118">
        <v>68.78</v>
      </c>
      <c r="Z17" s="63"/>
      <c r="AA17" s="64">
        <v>-90</v>
      </c>
    </row>
    <row r="18" spans="1:27" x14ac:dyDescent="0.3">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125">
        <f>I16*COS((I17)/180*PI())</f>
        <v>4.6029859826403492E-15</v>
      </c>
      <c r="J18" s="71">
        <f>-K16*SIN((K17)/180*PI())</f>
        <v>-0.89174554952452167</v>
      </c>
      <c r="K18" s="72">
        <f>K16*COS((K17)/180*PI())</f>
        <v>0.89299153126063235</v>
      </c>
      <c r="L18" s="72">
        <f>-M16*SIN((M17)/180*PI())</f>
        <v>74.8011476538843</v>
      </c>
      <c r="M18" s="72">
        <f>M16*COS((M17)/180*PI())</f>
        <v>4.5821255236773952E-15</v>
      </c>
      <c r="N18" s="72">
        <f>-O16*SIN((O17)/180*PI())</f>
        <v>-0.89174554952452167</v>
      </c>
      <c r="O18" s="72">
        <f>O16*COS((O17)/180*PI())</f>
        <v>0.89299153126063235</v>
      </c>
      <c r="P18" s="72">
        <f>-Q16*SIN((Q17)/180*PI())</f>
        <v>74.8011476538843</v>
      </c>
      <c r="Q18" s="125">
        <f>Q16*COS((Q17)/180*PI())</f>
        <v>4.5821255236773952E-15</v>
      </c>
      <c r="R18" s="71">
        <f>-S16*SIN((S17)/180*PI())</f>
        <v>-3.8704345801813105</v>
      </c>
      <c r="S18" s="72">
        <f>S16*COS((S17)/180*PI())</f>
        <v>2.4505707826008059</v>
      </c>
      <c r="T18" s="72">
        <f>-U16*SIN((U17)/180*PI())</f>
        <v>63.68113744935502</v>
      </c>
      <c r="U18" s="125">
        <f>U16*COS((U17)/180*PI())</f>
        <v>3.9009423576450382E-15</v>
      </c>
      <c r="V18" s="71">
        <f>-W16*SIN((W17)/180*PI())</f>
        <v>-4.4189587893172044</v>
      </c>
      <c r="W18" s="125">
        <f>W16*COS((W17)/180*PI())</f>
        <v>-5.6641556491957585</v>
      </c>
      <c r="X18" s="71">
        <f>-Y16*SIN((Y17)/180*PI())</f>
        <v>-5.5148804906326028</v>
      </c>
      <c r="Y18" s="72">
        <f>Y16*COS((Y17)/180*PI())</f>
        <v>2.1412961434700959</v>
      </c>
      <c r="Z18" s="72">
        <f>-AA16*SIN((AA17)/180*PI())</f>
        <v>71.666780530880629</v>
      </c>
      <c r="AA18" s="125">
        <f>AA16*COS((AA17)/180*PI())</f>
        <v>4.3901222717841786E-15</v>
      </c>
    </row>
    <row r="19" spans="1:27" s="14" customFormat="1" ht="69" customHeight="1" x14ac:dyDescent="0.3">
      <c r="A19" s="15" t="s">
        <v>40</v>
      </c>
      <c r="B19" s="387" t="s">
        <v>211</v>
      </c>
      <c r="C19" s="388"/>
      <c r="D19" s="65"/>
      <c r="E19" s="65"/>
      <c r="F19" s="388" t="s">
        <v>211</v>
      </c>
      <c r="G19" s="388"/>
      <c r="H19" s="65"/>
      <c r="I19" s="66"/>
      <c r="J19" s="404"/>
      <c r="K19" s="405"/>
      <c r="L19" s="65"/>
      <c r="M19" s="65"/>
      <c r="N19" s="405"/>
      <c r="O19" s="405"/>
      <c r="P19" s="405"/>
      <c r="Q19" s="410"/>
      <c r="R19" s="404"/>
      <c r="S19" s="405"/>
      <c r="T19" s="65"/>
      <c r="U19" s="66"/>
      <c r="V19" s="404" t="s">
        <v>210</v>
      </c>
      <c r="W19" s="410"/>
      <c r="X19" s="404"/>
      <c r="Y19" s="405"/>
      <c r="Z19" s="65"/>
      <c r="AA19" s="66"/>
    </row>
    <row r="20" spans="1:27" s="19" customFormat="1" x14ac:dyDescent="0.3">
      <c r="A20" s="18" t="s">
        <v>38</v>
      </c>
      <c r="B20" s="126"/>
      <c r="C20" s="127"/>
      <c r="D20" s="67"/>
      <c r="E20" s="67"/>
      <c r="F20" s="127"/>
      <c r="G20" s="127"/>
      <c r="H20" s="67"/>
      <c r="I20" s="68"/>
      <c r="J20" s="126"/>
      <c r="K20" s="127"/>
      <c r="L20" s="67"/>
      <c r="M20" s="67"/>
      <c r="N20" s="127"/>
      <c r="O20" s="127"/>
      <c r="P20" s="127"/>
      <c r="Q20" s="155"/>
      <c r="R20" s="126"/>
      <c r="S20" s="127"/>
      <c r="T20" s="67"/>
      <c r="U20" s="68"/>
      <c r="V20" s="126"/>
      <c r="W20" s="155"/>
      <c r="X20" s="126"/>
      <c r="Y20" s="127"/>
      <c r="Z20" s="67"/>
      <c r="AA20" s="68"/>
    </row>
    <row r="21" spans="1:27" x14ac:dyDescent="0.3">
      <c r="A21" s="7" t="s">
        <v>65</v>
      </c>
      <c r="B21" s="117"/>
      <c r="C21" s="118">
        <f>C16/C8</f>
        <v>0.14909986328219496</v>
      </c>
      <c r="D21" s="63"/>
      <c r="E21" s="118">
        <f>E16/E8</f>
        <v>0.11523930920644852</v>
      </c>
      <c r="F21" s="118"/>
      <c r="G21" s="118">
        <f>G16/G8</f>
        <v>0.15391076827228151</v>
      </c>
      <c r="H21" s="63"/>
      <c r="I21" s="128">
        <f>I16/I8</f>
        <v>0.11883305681403923</v>
      </c>
      <c r="J21" s="117"/>
      <c r="K21" s="118">
        <f>K16/K8</f>
        <v>0.13688311888357205</v>
      </c>
      <c r="L21" s="63"/>
      <c r="M21" s="118">
        <f>M16/M8</f>
        <v>0.11777021547809262</v>
      </c>
      <c r="N21" s="118"/>
      <c r="O21" s="118">
        <f>O16/O8</f>
        <v>0.13688311888357205</v>
      </c>
      <c r="P21" s="118"/>
      <c r="Q21" s="128">
        <f>Q16/Q8</f>
        <v>0.11945636252031189</v>
      </c>
      <c r="R21" s="117"/>
      <c r="S21" s="118">
        <f>S16/S8</f>
        <v>0.1127352216825462</v>
      </c>
      <c r="T21" s="63"/>
      <c r="U21" s="128">
        <f>U16/U8</f>
        <v>0.11652877687516901</v>
      </c>
      <c r="V21" s="117"/>
      <c r="W21" s="128">
        <f>W16/W8</f>
        <v>0.13477688770446444</v>
      </c>
      <c r="X21" s="117"/>
      <c r="Y21" s="118">
        <f>Y16/Y8</f>
        <v>0.11053007087908868</v>
      </c>
      <c r="Z21" s="63"/>
      <c r="AA21" s="128">
        <f>AA16/AA8</f>
        <v>0.11914285688139573</v>
      </c>
    </row>
    <row r="22" spans="1:27" x14ac:dyDescent="0.3">
      <c r="A22" t="s">
        <v>34</v>
      </c>
      <c r="B22" s="117">
        <f>STDEV(E21,I21:U21,Y21:AA21)</f>
        <v>9.1470200330511023E-3</v>
      </c>
      <c r="C22" s="129">
        <f>AVERAGE(E21,I21:U21,Y21:AA21)</f>
        <v>0.1204002108104236</v>
      </c>
      <c r="D22" s="63"/>
      <c r="E22" s="63"/>
      <c r="F22" s="118"/>
      <c r="G22" s="118"/>
      <c r="H22" s="63"/>
      <c r="I22" s="64"/>
      <c r="J22" s="117"/>
      <c r="K22" s="118"/>
      <c r="L22" s="63"/>
      <c r="M22" s="63"/>
      <c r="N22" s="118"/>
      <c r="O22" s="118"/>
      <c r="P22" s="118"/>
      <c r="Q22" s="128"/>
      <c r="R22" s="117">
        <f>STDEV(R21:U21,Y21:AA21)</f>
        <v>3.8439293105590601E-3</v>
      </c>
      <c r="S22" s="118">
        <f>AVERAGE(R21:U21,Y21:AA21)</f>
        <v>0.1147342315795499</v>
      </c>
      <c r="T22" s="63"/>
      <c r="U22" s="64"/>
      <c r="V22" s="117"/>
      <c r="W22" s="128"/>
      <c r="X22" s="117"/>
      <c r="Y22" s="118"/>
      <c r="Z22" s="63"/>
      <c r="AA22" s="64"/>
    </row>
    <row r="23" spans="1:27" x14ac:dyDescent="0.3">
      <c r="A23" t="s">
        <v>35</v>
      </c>
      <c r="B23" s="117"/>
      <c r="C23" s="118">
        <f>C21-$C22</f>
        <v>2.8699652471771364E-2</v>
      </c>
      <c r="D23" s="63"/>
      <c r="E23" s="118">
        <f>E21-$C22</f>
        <v>-5.1609016039750738E-3</v>
      </c>
      <c r="F23" s="118"/>
      <c r="G23" s="118">
        <f>G21-$C22</f>
        <v>3.3510557461857909E-2</v>
      </c>
      <c r="H23" s="63"/>
      <c r="I23" s="128">
        <f>I21-$C22</f>
        <v>-1.5671539963843656E-3</v>
      </c>
      <c r="J23" s="117"/>
      <c r="K23" s="118">
        <f>K21-$C22</f>
        <v>1.648290807314845E-2</v>
      </c>
      <c r="L23" s="63"/>
      <c r="M23" s="118">
        <f>M21-$C22</f>
        <v>-2.6299953323309783E-3</v>
      </c>
      <c r="N23" s="118"/>
      <c r="O23" s="118">
        <f>O21-$C22</f>
        <v>1.648290807314845E-2</v>
      </c>
      <c r="P23" s="118"/>
      <c r="Q23" s="128">
        <f>Q21-$C22</f>
        <v>-9.4384829011170956E-4</v>
      </c>
      <c r="R23" s="117"/>
      <c r="S23" s="118">
        <f>S21-$C22</f>
        <v>-7.6649891278774002E-3</v>
      </c>
      <c r="T23" s="63"/>
      <c r="U23" s="128">
        <f>U21-$C22</f>
        <v>-3.8714339352545896E-3</v>
      </c>
      <c r="V23" s="117"/>
      <c r="W23" s="128">
        <f>W21-$C22</f>
        <v>1.4376676894040846E-2</v>
      </c>
      <c r="X23" s="117"/>
      <c r="Y23" s="118">
        <f>Y21-$C22</f>
        <v>-9.870139931334912E-3</v>
      </c>
      <c r="Z23" s="63"/>
      <c r="AA23" s="128">
        <f>AA21-$C22</f>
        <v>-1.2573539290278712E-3</v>
      </c>
    </row>
    <row r="24" spans="1:27" x14ac:dyDescent="0.3">
      <c r="A24" s="7" t="s">
        <v>64</v>
      </c>
      <c r="B24" s="117"/>
      <c r="C24" s="74">
        <f>MOD(C9-C17,360)</f>
        <v>356.74488129694225</v>
      </c>
      <c r="D24" s="63"/>
      <c r="E24" s="74">
        <f>MOD(E9-E17,360)+360</f>
        <v>360.70298042273555</v>
      </c>
      <c r="F24" s="118"/>
      <c r="G24" s="74">
        <f>MOD(G9-G17,360)</f>
        <v>276.80557109226521</v>
      </c>
      <c r="H24" s="63"/>
      <c r="I24" s="138">
        <f>MOD(I9-I17,360)</f>
        <v>278.73238427087347</v>
      </c>
      <c r="J24" s="117"/>
      <c r="K24" s="74">
        <f>MOD(K9-K17,360)</f>
        <v>274.43870535499553</v>
      </c>
      <c r="L24" s="63"/>
      <c r="M24" s="74">
        <f>MOD(M9-M17,360)</f>
        <v>278.60213439142609</v>
      </c>
      <c r="N24" s="118"/>
      <c r="O24" s="74">
        <f>MOD(O9-O17,360)</f>
        <v>175.64129464500445</v>
      </c>
      <c r="P24" s="118"/>
      <c r="Q24" s="138">
        <f>MOD(Q9-Q17,360)</f>
        <v>178.62736060021422</v>
      </c>
      <c r="R24" s="117"/>
      <c r="S24" s="74">
        <f>MOD(S9-S17,360)</f>
        <v>179.05781797176795</v>
      </c>
      <c r="T24" s="63"/>
      <c r="U24" s="138">
        <f>MOD(U9-U17,360)</f>
        <v>177.58786760569421</v>
      </c>
      <c r="V24" s="117"/>
      <c r="W24" s="138">
        <f>MOD(W9-W17,360)</f>
        <v>177.9760627251504</v>
      </c>
      <c r="X24" s="117"/>
      <c r="Y24" s="74">
        <f>MOD(Y9-Y17,360)</f>
        <v>179.41660269886199</v>
      </c>
      <c r="Z24" s="63"/>
      <c r="AA24" s="138">
        <f>MOD(AA9-AA17,360)</f>
        <v>177.61802134987431</v>
      </c>
    </row>
    <row r="25" spans="1:27" x14ac:dyDescent="0.3">
      <c r="A25" t="s">
        <v>36</v>
      </c>
      <c r="B25" s="117">
        <f>STDEV(B24:E24)</f>
        <v>2.7987987324569854</v>
      </c>
      <c r="C25" s="118">
        <f>AVERAGE(B24:E24)</f>
        <v>358.7239308598389</v>
      </c>
      <c r="D25" s="63"/>
      <c r="E25" s="63"/>
      <c r="F25" s="118">
        <f>STDEV(F24:I24,M24)</f>
        <v>1.076817358720157</v>
      </c>
      <c r="G25" s="118">
        <f>AVERAGE(F24:I24,M24)</f>
        <v>278.04669658485494</v>
      </c>
      <c r="H25" s="63"/>
      <c r="I25" s="64"/>
      <c r="J25" s="117"/>
      <c r="K25" s="118"/>
      <c r="L25" s="63"/>
      <c r="M25" s="63"/>
      <c r="N25" s="118">
        <f>STDEV(Q24:U24,Y24:AA24)</f>
        <v>0.83216822447946615</v>
      </c>
      <c r="O25" s="118">
        <f>AVERAGE(Q24:U24,Y24:AA24)</f>
        <v>178.46153404528255</v>
      </c>
      <c r="P25" s="118"/>
      <c r="Q25" s="128"/>
      <c r="R25" s="117"/>
      <c r="S25" s="118"/>
      <c r="T25" s="63"/>
      <c r="U25" s="64"/>
      <c r="V25" s="117"/>
      <c r="W25" s="128"/>
      <c r="X25" s="117"/>
      <c r="Y25" s="118"/>
      <c r="Z25" s="63"/>
      <c r="AA25" s="64"/>
    </row>
    <row r="26" spans="1:27" x14ac:dyDescent="0.3">
      <c r="A26" t="s">
        <v>35</v>
      </c>
      <c r="B26" s="117"/>
      <c r="C26" s="118">
        <f>C24-$C25</f>
        <v>-1.9790495628966482</v>
      </c>
      <c r="D26" s="63"/>
      <c r="E26" s="63">
        <f>E24-$C25</f>
        <v>1.9790495628966482</v>
      </c>
      <c r="F26" s="118"/>
      <c r="G26" s="118">
        <f>G24-$C25</f>
        <v>-81.918359767573691</v>
      </c>
      <c r="H26" s="63"/>
      <c r="I26" s="128">
        <f>I24-$C25</f>
        <v>-79.991546588965434</v>
      </c>
      <c r="J26" s="117"/>
      <c r="K26" s="118">
        <f>K24-$C25</f>
        <v>-84.285225504843368</v>
      </c>
      <c r="L26" s="63"/>
      <c r="M26" s="118">
        <f>M24-$C25</f>
        <v>-80.121796468412811</v>
      </c>
      <c r="N26" s="118"/>
      <c r="O26" s="118">
        <f>O24-$C25</f>
        <v>-183.08263621483445</v>
      </c>
      <c r="P26" s="118"/>
      <c r="Q26" s="128">
        <f>Q24-$C25</f>
        <v>-180.09657025962468</v>
      </c>
      <c r="R26" s="117"/>
      <c r="S26" s="118">
        <f>S24-$C25</f>
        <v>-179.66611288807096</v>
      </c>
      <c r="T26" s="63"/>
      <c r="U26" s="128">
        <f>U24-$C25</f>
        <v>-181.13606325414469</v>
      </c>
      <c r="V26" s="117"/>
      <c r="W26" s="128">
        <f>W24-$C25</f>
        <v>-180.7478681346885</v>
      </c>
      <c r="X26" s="117"/>
      <c r="Y26" s="118">
        <f>Y24-$C25</f>
        <v>-179.30732816097691</v>
      </c>
      <c r="Z26" s="63"/>
      <c r="AA26" s="128">
        <f>AA24-$C25</f>
        <v>-181.10590950996459</v>
      </c>
    </row>
    <row r="27" spans="1:27" x14ac:dyDescent="0.3">
      <c r="A27" t="s">
        <v>67</v>
      </c>
      <c r="B27" s="117"/>
      <c r="C27" s="118">
        <f>SQRT(C16)</f>
        <v>1.3038404810405297</v>
      </c>
      <c r="D27" s="63"/>
      <c r="E27" s="63">
        <f>SQRT(E16)</f>
        <v>8.6684303831062852</v>
      </c>
      <c r="F27" s="118"/>
      <c r="G27" s="118">
        <f>SQRT(G16)</f>
        <v>1.3038404810405297</v>
      </c>
      <c r="H27" s="63"/>
      <c r="I27" s="64">
        <f>SQRT(I16)</f>
        <v>8.6684303831062852</v>
      </c>
      <c r="J27" s="117"/>
      <c r="K27" s="118">
        <f>SQRT(K16)</f>
        <v>1.1233877335986895</v>
      </c>
      <c r="L27" s="63"/>
      <c r="M27" s="63">
        <f>SQRT(M16)</f>
        <v>8.6487656722727948</v>
      </c>
      <c r="N27" s="118"/>
      <c r="O27" s="118">
        <f>SQRT(O16)</f>
        <v>1.1233877335986895</v>
      </c>
      <c r="P27" s="118"/>
      <c r="Q27" s="128">
        <f>SQRT(Q16)</f>
        <v>8.6487656722727948</v>
      </c>
      <c r="R27" s="117"/>
      <c r="S27" s="118">
        <f>SQRT(S16)</f>
        <v>2.1403270778084362</v>
      </c>
      <c r="T27" s="63"/>
      <c r="U27" s="64">
        <f>SQRT(U16)</f>
        <v>7.9800462059661674</v>
      </c>
      <c r="V27" s="117"/>
      <c r="W27" s="128">
        <f>SQRT(W16)</f>
        <v>2.6802984908401526</v>
      </c>
      <c r="X27" s="117"/>
      <c r="Y27" s="118">
        <f>SQRT(Y16)</f>
        <v>2.4322828782853363</v>
      </c>
      <c r="Z27" s="63"/>
      <c r="AA27" s="64">
        <f>SQRT(AA16)</f>
        <v>8.4656234578960952</v>
      </c>
    </row>
    <row r="28" spans="1:27" x14ac:dyDescent="0.3">
      <c r="A28" s="10" t="s">
        <v>68</v>
      </c>
      <c r="B28" s="118" t="s">
        <v>357</v>
      </c>
      <c r="C28" s="118">
        <f>C27*C21</f>
        <v>0.1944024374649343</v>
      </c>
      <c r="D28" s="63"/>
      <c r="E28" s="118">
        <f>E27*E21</f>
        <v>0.99894392925335829</v>
      </c>
      <c r="F28" s="118"/>
      <c r="G28" s="118">
        <f>G27*G21</f>
        <v>0.20067509014144902</v>
      </c>
      <c r="H28" s="63"/>
      <c r="I28" s="128">
        <f>I27*I21</f>
        <v>1.0300960802042129</v>
      </c>
      <c r="J28" s="117"/>
      <c r="K28" s="118">
        <f>K27*K21</f>
        <v>0.15377281669053597</v>
      </c>
      <c r="L28" s="63"/>
      <c r="M28" s="118">
        <f>M27*M21</f>
        <v>1.0185669968430977</v>
      </c>
      <c r="N28" s="118"/>
      <c r="O28" s="118">
        <f>O27*O21</f>
        <v>0.15377281669053597</v>
      </c>
      <c r="P28" s="118"/>
      <c r="Q28" s="128">
        <f>Q27*Q21</f>
        <v>1.0331500875002479</v>
      </c>
      <c r="R28" s="117"/>
      <c r="S28" s="118">
        <f>S27*S21</f>
        <v>0.24129024758989037</v>
      </c>
      <c r="T28" s="63"/>
      <c r="U28" s="128">
        <f>U27*U21</f>
        <v>0.92990502378857054</v>
      </c>
      <c r="V28" s="117"/>
      <c r="W28" s="128">
        <f>W27*W21</f>
        <v>0.36124228871440878</v>
      </c>
      <c r="X28" s="117"/>
      <c r="Y28" s="118">
        <f>Y27*Y21</f>
        <v>0.26884039893487205</v>
      </c>
      <c r="Z28" s="63"/>
      <c r="AA28" s="128">
        <f>AA27*AA21</f>
        <v>1.0086185640559009</v>
      </c>
    </row>
    <row r="29" spans="1:27" x14ac:dyDescent="0.3">
      <c r="A29" s="7" t="s">
        <v>69</v>
      </c>
      <c r="B29" s="118">
        <f>SQRT(SUMSQ(E30,I30:U30,Y30:AA30)/SUM(E27,I27:U27,Y27:AA27))</f>
        <v>3.7326475994231586E-3</v>
      </c>
      <c r="C29" s="139">
        <f>SUM(E28,I28:U28,Y28:AA28)/SUM(E27,I27:U27,Y27:AA27)</f>
        <v>0.11808328563451001</v>
      </c>
      <c r="D29" s="63"/>
      <c r="E29" s="63"/>
      <c r="F29" s="118"/>
      <c r="G29" s="139"/>
      <c r="H29" s="63"/>
      <c r="I29" s="64"/>
      <c r="J29" s="117"/>
      <c r="K29" s="139"/>
      <c r="L29" s="63"/>
      <c r="M29" s="63"/>
      <c r="N29" s="287"/>
      <c r="O29" s="139"/>
      <c r="P29" s="118"/>
      <c r="Q29" s="140"/>
      <c r="R29" s="117"/>
      <c r="S29" s="139"/>
      <c r="T29" s="63"/>
      <c r="U29" s="64"/>
      <c r="V29" s="117"/>
      <c r="W29" s="140">
        <f>SUM(V28:W28)/SUM(V27:W27)</f>
        <v>0.13477688770446444</v>
      </c>
      <c r="X29" s="117"/>
      <c r="Y29" s="139"/>
      <c r="Z29" s="63"/>
      <c r="AA29" s="64"/>
    </row>
    <row r="30" spans="1:27" x14ac:dyDescent="0.3">
      <c r="A30" t="s">
        <v>72</v>
      </c>
      <c r="B30" s="117"/>
      <c r="C30" s="139">
        <f>C21-$C$29</f>
        <v>3.1016577647684951E-2</v>
      </c>
      <c r="D30" s="63"/>
      <c r="E30" s="75">
        <f>E21-$C$29</f>
        <v>-2.8439764280614871E-3</v>
      </c>
      <c r="F30" s="118"/>
      <c r="G30" s="139">
        <f>G21-$C29</f>
        <v>3.5827482637771496E-2</v>
      </c>
      <c r="H30" s="63"/>
      <c r="I30" s="140">
        <f>I21-$C29</f>
        <v>7.4977117952922112E-4</v>
      </c>
      <c r="J30" s="117"/>
      <c r="K30" s="139">
        <f>K21-$C29</f>
        <v>1.8799833249062037E-2</v>
      </c>
      <c r="L30" s="63"/>
      <c r="M30" s="139">
        <f>M21-$C29</f>
        <v>-3.1307015641739155E-4</v>
      </c>
      <c r="N30" s="287"/>
      <c r="O30" s="139">
        <f>O21-$C29</f>
        <v>1.8799833249062037E-2</v>
      </c>
      <c r="P30" s="118"/>
      <c r="Q30" s="140">
        <f>Q21-$C29</f>
        <v>1.3730768858018771E-3</v>
      </c>
      <c r="R30" s="117"/>
      <c r="S30" s="139">
        <f>S21-$C29</f>
        <v>-5.3480639519638135E-3</v>
      </c>
      <c r="T30" s="63"/>
      <c r="U30" s="140">
        <f>U21-$C29</f>
        <v>-1.5545087593410029E-3</v>
      </c>
      <c r="V30" s="117"/>
      <c r="W30" s="140">
        <f>W21-$C29</f>
        <v>1.6693602069954433E-2</v>
      </c>
      <c r="X30" s="117"/>
      <c r="Y30" s="139">
        <f>Y21-$C29</f>
        <v>-7.5532147554213253E-3</v>
      </c>
      <c r="Z30" s="63"/>
      <c r="AA30" s="140">
        <f>AA21-$C29</f>
        <v>1.0595712468857155E-3</v>
      </c>
    </row>
    <row r="31" spans="1:27" x14ac:dyDescent="0.3">
      <c r="A31" s="10" t="s">
        <v>119</v>
      </c>
      <c r="B31" s="117"/>
      <c r="C31" s="118">
        <f>C27*C24</f>
        <v>465.13841763895186</v>
      </c>
      <c r="D31" s="63"/>
      <c r="E31" s="63">
        <f>E27*E24</f>
        <v>3126.7286747734324</v>
      </c>
      <c r="F31" s="118"/>
      <c r="G31" s="118">
        <f>G27*G24</f>
        <v>360.9103089676376</v>
      </c>
      <c r="H31" s="63"/>
      <c r="I31" s="64">
        <f>I27*I24</f>
        <v>2416.1722685692962</v>
      </c>
      <c r="J31" s="117"/>
      <c r="K31" s="118">
        <f>K27*K24</f>
        <v>308.30107522050696</v>
      </c>
      <c r="L31" s="63"/>
      <c r="M31" s="63">
        <f>M27*M24</f>
        <v>2409.564576146498</v>
      </c>
      <c r="N31" s="118"/>
      <c r="O31" s="118">
        <f>O27*O24</f>
        <v>197.3132759175912</v>
      </c>
      <c r="P31" s="118"/>
      <c r="Q31" s="128">
        <f>Q27*Q24</f>
        <v>1544.9061844878267</v>
      </c>
      <c r="R31" s="117"/>
      <c r="S31" s="118">
        <f>S27*S24</f>
        <v>383.24229629826897</v>
      </c>
      <c r="T31" s="63"/>
      <c r="U31" s="64">
        <f>U27*U24</f>
        <v>1417.1593891124421</v>
      </c>
      <c r="V31" s="117"/>
      <c r="W31" s="128">
        <f>W27*W24</f>
        <v>477.02897232789297</v>
      </c>
      <c r="X31" s="117"/>
      <c r="Y31" s="118">
        <f>Y27*Y24</f>
        <v>436.39193082456467</v>
      </c>
      <c r="Z31" s="63"/>
      <c r="AA31" s="64">
        <f>AA27*AA24</f>
        <v>1503.6472880845854</v>
      </c>
    </row>
    <row r="32" spans="1:27" x14ac:dyDescent="0.3">
      <c r="A32" t="s">
        <v>120</v>
      </c>
      <c r="B32" s="117"/>
      <c r="C32" s="139">
        <f>MOD(SUM(B31:E31)/SUM(B27:E27),360)</f>
        <v>0.18547243097668797</v>
      </c>
      <c r="D32" s="63"/>
      <c r="E32" s="63"/>
      <c r="F32" s="118"/>
      <c r="G32" s="139">
        <f>SUM(F31:I31,M31)/SUM(F27:I27,M27)</f>
        <v>278.53697314535765</v>
      </c>
      <c r="H32" s="63"/>
      <c r="I32" s="64"/>
      <c r="J32" s="117"/>
      <c r="K32" s="139">
        <f>SUM(J31:M31)/SUM(J27:M27)</f>
        <v>278.12351469370168</v>
      </c>
      <c r="L32" s="63"/>
      <c r="M32" s="63"/>
      <c r="N32" s="118"/>
      <c r="O32" s="139">
        <f>SUM(Q31:U31,Y31:AA31)/SUM(Q27:U27,Y27:AA27)</f>
        <v>178.15549330058039</v>
      </c>
      <c r="P32" s="118"/>
      <c r="Q32" s="140"/>
      <c r="R32" s="117"/>
      <c r="S32" s="139"/>
      <c r="T32" s="63"/>
      <c r="U32" s="64"/>
      <c r="V32" s="117"/>
      <c r="W32" s="140"/>
      <c r="X32" s="117"/>
      <c r="Y32" s="139"/>
      <c r="Z32" s="63"/>
      <c r="AA32" s="64"/>
    </row>
    <row r="33" spans="1:27" x14ac:dyDescent="0.3">
      <c r="A33" t="s">
        <v>121</v>
      </c>
      <c r="B33" s="117"/>
      <c r="C33" s="139">
        <f>C24-$C$32</f>
        <v>356.55940886596557</v>
      </c>
      <c r="D33" s="63"/>
      <c r="E33" s="75">
        <f>E24-$C$32</f>
        <v>360.51750799175886</v>
      </c>
      <c r="F33" s="118"/>
      <c r="G33" s="139">
        <f>G24-$G32</f>
        <v>-1.7314020530924381</v>
      </c>
      <c r="H33" s="63"/>
      <c r="I33" s="140">
        <f>I24-$G32</f>
        <v>0.19541112551581818</v>
      </c>
      <c r="J33" s="117"/>
      <c r="K33" s="139">
        <f>K24-$G32</f>
        <v>-4.0982677903621152</v>
      </c>
      <c r="L33" s="63"/>
      <c r="M33" s="139">
        <f>M24-$G32</f>
        <v>6.5161246068441869E-2</v>
      </c>
      <c r="N33" s="287">
        <f>SQRT(SUMSQ(O33:U33,X33:AA33)/SUM(O27:U27,X27:AA27))</f>
        <v>0.55719862984715074</v>
      </c>
      <c r="O33" s="139">
        <f>O24-$O32</f>
        <v>-2.5141986555759388</v>
      </c>
      <c r="P33" s="118"/>
      <c r="Q33" s="139">
        <f>Q24-$O32</f>
        <v>0.47186729963382845</v>
      </c>
      <c r="R33" s="117"/>
      <c r="S33" s="139">
        <f>S24-$O32</f>
        <v>0.90232467118755721</v>
      </c>
      <c r="T33" s="63"/>
      <c r="U33" s="139">
        <f>U24-$O32</f>
        <v>-0.56762569488617487</v>
      </c>
      <c r="V33" s="117"/>
      <c r="W33" s="139">
        <f>W24-$O32</f>
        <v>-0.17943057542998986</v>
      </c>
      <c r="X33" s="117"/>
      <c r="Y33" s="139">
        <f>Y24-$O32</f>
        <v>1.2611093982816044</v>
      </c>
      <c r="Z33" s="63"/>
      <c r="AA33" s="139">
        <f>AA24-$O32</f>
        <v>-0.53747195070607745</v>
      </c>
    </row>
    <row r="34" spans="1:27" s="14" customFormat="1" ht="75.75" customHeight="1" x14ac:dyDescent="0.3">
      <c r="A34" s="15" t="s">
        <v>40</v>
      </c>
      <c r="B34" s="383" t="s">
        <v>214</v>
      </c>
      <c r="C34" s="384"/>
      <c r="D34" s="65"/>
      <c r="E34" s="65"/>
      <c r="F34" s="384" t="s">
        <v>214</v>
      </c>
      <c r="G34" s="384"/>
      <c r="H34" s="65"/>
      <c r="I34" s="66"/>
      <c r="J34" s="383" t="s">
        <v>215</v>
      </c>
      <c r="K34" s="384"/>
      <c r="L34" s="65"/>
      <c r="M34" s="65"/>
      <c r="N34" s="384" t="s">
        <v>215</v>
      </c>
      <c r="O34" s="384"/>
      <c r="P34" s="384"/>
      <c r="Q34" s="413"/>
      <c r="R34" s="163"/>
      <c r="S34" s="164"/>
      <c r="T34" s="164"/>
      <c r="U34" s="165"/>
      <c r="V34" s="383" t="s">
        <v>212</v>
      </c>
      <c r="W34" s="413"/>
      <c r="X34" s="383"/>
      <c r="Y34" s="384"/>
      <c r="Z34" s="65"/>
      <c r="AA34" s="66"/>
    </row>
    <row r="35" spans="1:27" s="19" customFormat="1" x14ac:dyDescent="0.3">
      <c r="A35" s="20" t="s">
        <v>54</v>
      </c>
      <c r="B35" s="119"/>
      <c r="C35" s="120"/>
      <c r="D35" s="67"/>
      <c r="E35" s="67"/>
      <c r="F35" s="120"/>
      <c r="G35" s="120"/>
      <c r="H35" s="67"/>
      <c r="I35" s="68"/>
      <c r="J35" s="119"/>
      <c r="K35" s="120"/>
      <c r="L35" s="67"/>
      <c r="M35" s="67"/>
      <c r="N35" s="120"/>
      <c r="O35" s="120"/>
      <c r="P35" s="120"/>
      <c r="Q35" s="152"/>
      <c r="R35" s="119"/>
      <c r="S35" s="120"/>
      <c r="T35" s="67"/>
      <c r="U35" s="68"/>
      <c r="V35" s="119"/>
      <c r="W35" s="152"/>
      <c r="X35" s="119"/>
      <c r="Y35" s="120"/>
      <c r="Z35" s="67"/>
      <c r="AA35" s="68"/>
    </row>
    <row r="36" spans="1:27" x14ac:dyDescent="0.3">
      <c r="A36" s="7" t="s">
        <v>42</v>
      </c>
      <c r="B36" s="117"/>
      <c r="C36" s="141">
        <f>C8*$C29</f>
        <v>1.3463566039543038</v>
      </c>
      <c r="D36" s="63"/>
      <c r="E36" s="63"/>
      <c r="F36" s="118"/>
      <c r="G36" s="141">
        <f>G8*$C29</f>
        <v>1.3042725199288054</v>
      </c>
      <c r="H36" s="63"/>
      <c r="I36" s="64"/>
      <c r="J36" s="117"/>
      <c r="K36" s="147">
        <f>K8*$C29</f>
        <v>1.0886741015705796</v>
      </c>
      <c r="L36" s="63"/>
      <c r="M36" s="63"/>
      <c r="N36" s="118"/>
      <c r="O36" s="147">
        <f>O8*$C29</f>
        <v>1.0886741015705796</v>
      </c>
      <c r="P36" s="118"/>
      <c r="Q36" s="156">
        <f>Q8*$C29</f>
        <v>73.941354799757022</v>
      </c>
      <c r="R36" s="117"/>
      <c r="S36" s="166">
        <f>S8*$C29</f>
        <v>4.7983187811076027</v>
      </c>
      <c r="T36" s="63">
        <f>S36*B29/C29</f>
        <v>0.15167627648001353</v>
      </c>
      <c r="U36" s="64"/>
      <c r="V36" s="117"/>
      <c r="W36" s="173">
        <f>W8*$C29</f>
        <v>6.2941824703540767</v>
      </c>
      <c r="X36" s="117"/>
      <c r="Y36" s="166">
        <f>Y8*$C29</f>
        <v>6.3202774797634422</v>
      </c>
      <c r="Z36" s="63"/>
      <c r="AA36" s="64"/>
    </row>
    <row r="37" spans="1:27" x14ac:dyDescent="0.3">
      <c r="A37" t="s">
        <v>50</v>
      </c>
      <c r="B37" s="117"/>
      <c r="C37" s="141">
        <f>C36-C16</f>
        <v>-0.35364339604569617</v>
      </c>
      <c r="D37" s="63"/>
      <c r="E37" s="63"/>
      <c r="F37" s="118"/>
      <c r="G37" s="141">
        <f>G36-G16</f>
        <v>-0.39572748007119452</v>
      </c>
      <c r="H37" s="63"/>
      <c r="I37" s="64"/>
      <c r="J37" s="117"/>
      <c r="K37" s="141">
        <f>K36-K16</f>
        <v>-0.17332589842942037</v>
      </c>
      <c r="L37" s="63"/>
      <c r="M37" s="63"/>
      <c r="N37" s="118"/>
      <c r="O37" s="141">
        <f>O36-O16</f>
        <v>-0.17332589842942037</v>
      </c>
      <c r="P37" s="118"/>
      <c r="Q37" s="143">
        <f>Q36-Q16</f>
        <v>-0.85979285412727791</v>
      </c>
      <c r="R37" s="117"/>
      <c r="S37" s="141">
        <f>S36-S16</f>
        <v>0.21731878110760228</v>
      </c>
      <c r="T37" s="63"/>
      <c r="U37" s="64"/>
      <c r="V37" s="117"/>
      <c r="W37" s="143">
        <f>W36-W16</f>
        <v>-0.88981752964592342</v>
      </c>
      <c r="X37" s="117"/>
      <c r="Y37" s="141">
        <f>Y36-Y16</f>
        <v>0.40427747976344186</v>
      </c>
      <c r="Z37" s="63"/>
      <c r="AA37" s="64"/>
    </row>
    <row r="38" spans="1:27" x14ac:dyDescent="0.3">
      <c r="A38" t="s">
        <v>51</v>
      </c>
      <c r="B38" s="117"/>
      <c r="C38" s="142">
        <f>C37/C16</f>
        <v>-0.20802552708570363</v>
      </c>
      <c r="D38" s="63"/>
      <c r="E38" s="63"/>
      <c r="F38" s="118"/>
      <c r="G38" s="142">
        <f>G37/G16</f>
        <v>-0.23278087063011443</v>
      </c>
      <c r="H38" s="63"/>
      <c r="I38" s="64"/>
      <c r="J38" s="117"/>
      <c r="K38" s="142">
        <f>K37/K16</f>
        <v>-0.13734223330381962</v>
      </c>
      <c r="L38" s="63"/>
      <c r="M38" s="63"/>
      <c r="N38" s="118"/>
      <c r="O38" s="142">
        <f>O37/O16</f>
        <v>-0.13734223330381962</v>
      </c>
      <c r="P38" s="118"/>
      <c r="Q38" s="157">
        <f>Q37/Q16</f>
        <v>-1.1494380515465665E-2</v>
      </c>
      <c r="R38" s="117"/>
      <c r="S38" s="142">
        <f>S37/S16</f>
        <v>4.743915763099809E-2</v>
      </c>
      <c r="T38" s="63"/>
      <c r="U38" s="64"/>
      <c r="V38" s="117"/>
      <c r="W38" s="157">
        <f>W37/W16</f>
        <v>-0.1238610147057243</v>
      </c>
      <c r="X38" s="117"/>
      <c r="Y38" s="142">
        <f>Y37/Y16</f>
        <v>6.83362879924682E-2</v>
      </c>
      <c r="Z38" s="63"/>
      <c r="AA38" s="64"/>
    </row>
    <row r="39" spans="1:27" x14ac:dyDescent="0.3">
      <c r="A39" s="29" t="s">
        <v>53</v>
      </c>
      <c r="B39" s="117">
        <f>AVERAGE(B37:E37)</f>
        <v>-0.35364339604569617</v>
      </c>
      <c r="C39" s="142">
        <f>AVERAGE(C38:E38)</f>
        <v>-0.20802552708570363</v>
      </c>
      <c r="D39" s="63"/>
      <c r="E39" s="63"/>
      <c r="F39" s="118"/>
      <c r="G39" s="142">
        <f>AVERAGE(G38:M38)</f>
        <v>-0.18506155196696703</v>
      </c>
      <c r="H39" s="63"/>
      <c r="I39" s="64"/>
      <c r="J39" s="117"/>
      <c r="K39" s="142"/>
      <c r="L39" s="63"/>
      <c r="M39" s="63"/>
      <c r="N39" s="118"/>
      <c r="O39" s="142"/>
      <c r="P39" s="118"/>
      <c r="Q39" s="157"/>
      <c r="R39" s="117"/>
      <c r="S39" s="142"/>
      <c r="T39" s="63"/>
      <c r="U39" s="64"/>
      <c r="V39" s="117">
        <f>AVERAGE(V37:AA37)</f>
        <v>-0.24277002494124078</v>
      </c>
      <c r="W39" s="157">
        <f>AVERAGE(W38:AA38)</f>
        <v>-2.7762363356628052E-2</v>
      </c>
      <c r="X39" s="117"/>
      <c r="Y39" s="142"/>
      <c r="Z39" s="63"/>
      <c r="AA39" s="64"/>
    </row>
    <row r="40" spans="1:27" x14ac:dyDescent="0.3">
      <c r="A40" s="29" t="s">
        <v>52</v>
      </c>
      <c r="B40" s="117">
        <f>STDEV(B37:AA37)</f>
        <v>0.45749970910921162</v>
      </c>
      <c r="C40" s="142">
        <f>STDEV(C38:G38)</f>
        <v>1.7504671290855506E-2</v>
      </c>
      <c r="D40" s="63"/>
      <c r="E40" s="63"/>
      <c r="F40" s="118"/>
      <c r="G40" s="142">
        <f>STDEV(G38:M38)</f>
        <v>6.7485307640626616E-2</v>
      </c>
      <c r="H40" s="63"/>
      <c r="I40" s="64"/>
      <c r="J40" s="117"/>
      <c r="K40" s="142"/>
      <c r="L40" s="63"/>
      <c r="M40" s="63"/>
      <c r="N40" s="118"/>
      <c r="O40" s="142"/>
      <c r="P40" s="118"/>
      <c r="Q40" s="157"/>
      <c r="R40" s="117"/>
      <c r="S40" s="142"/>
      <c r="T40" s="63"/>
      <c r="U40" s="64"/>
      <c r="V40" s="117">
        <f>STDEV(V37:AA37)</f>
        <v>0.91506335665303118</v>
      </c>
      <c r="W40" s="157">
        <f>STDEV(W38:AA38)</f>
        <v>0.13590401606365543</v>
      </c>
      <c r="X40" s="117"/>
      <c r="Y40" s="142"/>
      <c r="Z40" s="63"/>
      <c r="AA40" s="64"/>
    </row>
    <row r="41" spans="1:27" x14ac:dyDescent="0.3">
      <c r="B41" s="117"/>
      <c r="C41" s="142"/>
      <c r="D41" s="63"/>
      <c r="E41" s="63"/>
      <c r="F41" s="118"/>
      <c r="G41" s="142"/>
      <c r="H41" s="63"/>
      <c r="I41" s="64"/>
      <c r="J41" s="117"/>
      <c r="K41" s="142"/>
      <c r="L41" s="63"/>
      <c r="M41" s="63"/>
      <c r="N41" s="118"/>
      <c r="O41" s="142"/>
      <c r="P41" s="118"/>
      <c r="Q41" s="157"/>
      <c r="R41" s="117"/>
      <c r="S41" s="142"/>
      <c r="T41" s="63"/>
      <c r="U41" s="64"/>
      <c r="V41" s="117"/>
      <c r="W41" s="157"/>
      <c r="X41" s="117"/>
      <c r="Y41" s="142"/>
      <c r="Z41" s="63"/>
      <c r="AA41" s="64"/>
    </row>
    <row r="42" spans="1:27" x14ac:dyDescent="0.3">
      <c r="A42" s="7" t="s">
        <v>43</v>
      </c>
      <c r="B42" s="117"/>
      <c r="C42" s="141">
        <f>MOD(C9-$C32,360)</f>
        <v>74.559408865965565</v>
      </c>
      <c r="D42" s="63"/>
      <c r="E42" s="141"/>
      <c r="F42" s="118"/>
      <c r="G42" s="141">
        <f>MOD(G9-$G32,360)</f>
        <v>76.268597946907562</v>
      </c>
      <c r="H42" s="63"/>
      <c r="I42" s="143"/>
      <c r="J42" s="117"/>
      <c r="K42" s="141">
        <f>MOD(K9-$G32,360)</f>
        <v>40.861732209637864</v>
      </c>
      <c r="L42" s="63"/>
      <c r="M42" s="141"/>
      <c r="N42" s="118"/>
      <c r="O42" s="93">
        <f>MOD(O9-$O32,360)</f>
        <v>42.445801344424069</v>
      </c>
      <c r="P42" s="118"/>
      <c r="Q42" s="143"/>
      <c r="R42" s="117"/>
      <c r="S42" s="167">
        <f>MOD(S9-$O32,360)</f>
        <v>58.562324671187554</v>
      </c>
      <c r="T42" s="63"/>
      <c r="U42" s="143"/>
      <c r="V42" s="117"/>
      <c r="W42" s="171">
        <f>MOD(W9-$O32,360)</f>
        <v>141.86056942457</v>
      </c>
      <c r="X42" s="117"/>
      <c r="Y42" s="167">
        <f>MOD(Y9-$O32,360)</f>
        <v>70.041109398281606</v>
      </c>
      <c r="Z42" s="63"/>
      <c r="AA42" s="143"/>
    </row>
    <row r="43" spans="1:27" x14ac:dyDescent="0.3">
      <c r="A43" t="s">
        <v>55</v>
      </c>
      <c r="B43" s="117"/>
      <c r="C43" s="141">
        <f>C42-C17</f>
        <v>-3.4405911340344346</v>
      </c>
      <c r="D43" s="63"/>
      <c r="E43" s="141"/>
      <c r="F43" s="118"/>
      <c r="G43" s="141">
        <f>G42-G17</f>
        <v>-1.7314020530924381</v>
      </c>
      <c r="H43" s="63"/>
      <c r="I43" s="143"/>
      <c r="J43" s="117"/>
      <c r="K43" s="141">
        <f>K42-K17</f>
        <v>-4.0982677903621365</v>
      </c>
      <c r="L43" s="63"/>
      <c r="M43" s="141"/>
      <c r="N43" s="118"/>
      <c r="O43" s="141">
        <f>O42-O17</f>
        <v>-2.5141986555759317</v>
      </c>
      <c r="P43" s="118"/>
      <c r="Q43" s="143"/>
      <c r="R43" s="117"/>
      <c r="S43" s="141">
        <f>S42-S17</f>
        <v>0.90232467118755721</v>
      </c>
      <c r="T43" s="63"/>
      <c r="U43" s="143"/>
      <c r="V43" s="117"/>
      <c r="W43" s="143">
        <f>W42-W17</f>
        <v>-0.17943057542998986</v>
      </c>
      <c r="X43" s="117"/>
      <c r="Y43" s="141">
        <f>Y42-Y17</f>
        <v>1.2611093982816044</v>
      </c>
      <c r="Z43" s="63"/>
      <c r="AA43" s="143"/>
    </row>
    <row r="44" spans="1:27" x14ac:dyDescent="0.3">
      <c r="A44" t="s">
        <v>56</v>
      </c>
      <c r="B44" s="117">
        <f>AVERAGE(B43:G43)</f>
        <v>-2.5859965935634364</v>
      </c>
      <c r="C44" s="141"/>
      <c r="D44" s="63"/>
      <c r="E44" s="101"/>
      <c r="F44" s="118"/>
      <c r="G44" s="141"/>
      <c r="H44" s="63"/>
      <c r="I44" s="102"/>
      <c r="J44" s="117"/>
      <c r="K44" s="141"/>
      <c r="L44" s="63"/>
      <c r="M44" s="101"/>
      <c r="N44" s="118"/>
      <c r="O44" s="141"/>
      <c r="P44" s="118"/>
      <c r="Q44" s="143"/>
      <c r="R44" s="117"/>
      <c r="S44" s="141"/>
      <c r="T44" s="63"/>
      <c r="U44" s="102"/>
      <c r="V44" s="117"/>
      <c r="W44" s="143"/>
      <c r="X44" s="117"/>
      <c r="Y44" s="141"/>
      <c r="Z44" s="63"/>
      <c r="AA44" s="102"/>
    </row>
    <row r="45" spans="1:27" x14ac:dyDescent="0.3">
      <c r="A45" t="s">
        <v>57</v>
      </c>
      <c r="B45" s="117">
        <f>STDEV(B43:AA43)</f>
        <v>2.1082346098628069</v>
      </c>
      <c r="C45" s="141"/>
      <c r="D45" s="63"/>
      <c r="E45" s="63"/>
      <c r="F45" s="118"/>
      <c r="G45" s="141"/>
      <c r="H45" s="63"/>
      <c r="I45" s="64"/>
      <c r="J45" s="117"/>
      <c r="K45" s="141"/>
      <c r="L45" s="63"/>
      <c r="M45" s="63"/>
      <c r="N45" s="118"/>
      <c r="O45" s="141"/>
      <c r="P45" s="118"/>
      <c r="Q45" s="143"/>
      <c r="R45" s="117"/>
      <c r="S45" s="141"/>
      <c r="T45" s="63"/>
      <c r="U45" s="64"/>
      <c r="V45" s="117"/>
      <c r="W45" s="143"/>
      <c r="X45" s="117"/>
      <c r="Y45" s="141"/>
      <c r="Z45" s="63"/>
      <c r="AA45" s="64"/>
    </row>
    <row r="46" spans="1:27" x14ac:dyDescent="0.3">
      <c r="B46" s="117"/>
      <c r="C46" s="141"/>
      <c r="D46" s="63"/>
      <c r="E46" s="63"/>
      <c r="F46" s="118"/>
      <c r="G46" s="141"/>
      <c r="H46" s="63"/>
      <c r="I46" s="64"/>
      <c r="J46" s="117"/>
      <c r="K46" s="141"/>
      <c r="L46" s="63"/>
      <c r="M46" s="63"/>
      <c r="N46" s="118"/>
      <c r="O46" s="141"/>
      <c r="P46" s="118"/>
      <c r="Q46" s="143"/>
      <c r="R46" s="117"/>
      <c r="S46" s="141"/>
      <c r="T46" s="63"/>
      <c r="U46" s="64"/>
      <c r="V46" s="117"/>
      <c r="W46" s="143"/>
      <c r="X46" s="117"/>
      <c r="Y46" s="141"/>
      <c r="Z46" s="63"/>
      <c r="AA46" s="64"/>
    </row>
    <row r="47" spans="1:27" x14ac:dyDescent="0.3">
      <c r="A47" t="s">
        <v>44</v>
      </c>
      <c r="B47" s="71">
        <f>-C36*SIN((C42)/180*PI())</f>
        <v>-1.2977625945785338</v>
      </c>
      <c r="C47" s="72">
        <f>C36*COS((C42)/180*PI())</f>
        <v>0.35845272090494468</v>
      </c>
      <c r="D47" s="63"/>
      <c r="E47" s="63"/>
      <c r="F47" s="72">
        <f>-G36*SIN((G42)/180*PI())</f>
        <v>-1.2669953292712721</v>
      </c>
      <c r="G47" s="72">
        <f>G36*COS((G42)/180*PI())</f>
        <v>0.30959593318746426</v>
      </c>
      <c r="H47" s="63"/>
      <c r="I47" s="64"/>
      <c r="J47" s="71">
        <f>-K36*SIN((K42)/180*PI())</f>
        <v>-0.71224960878241905</v>
      </c>
      <c r="K47" s="72">
        <f>K36*COS((K42)/180*PI())</f>
        <v>0.82335399083249705</v>
      </c>
      <c r="L47" s="63"/>
      <c r="M47" s="63"/>
      <c r="N47" s="72">
        <f>-O36*SIN((O42)/180*PI())</f>
        <v>-0.73473796612101994</v>
      </c>
      <c r="O47" s="72">
        <f>O36*COS((O42)/180*PI())</f>
        <v>0.80335012327804856</v>
      </c>
      <c r="P47" s="72">
        <f>-Q36*SIN((Q42)/180*PI())</f>
        <v>0</v>
      </c>
      <c r="Q47" s="125">
        <f>Q36*COS((Q42)/180*PI())</f>
        <v>73.941354799757022</v>
      </c>
      <c r="R47" s="71">
        <f>-S36*SIN((S42)/180*PI())</f>
        <v>-4.0939640590698554</v>
      </c>
      <c r="S47" s="72">
        <f>S36*COS((S42)/180*PI())</f>
        <v>2.5026628634664769</v>
      </c>
      <c r="T47" s="63"/>
      <c r="U47" s="64"/>
      <c r="V47" s="71">
        <f>-W36*SIN((W42)/180*PI())</f>
        <v>-3.8871441681855425</v>
      </c>
      <c r="W47" s="125">
        <f>W36*COS((W42)/180*PI())</f>
        <v>-4.9504386862028378</v>
      </c>
      <c r="X47" s="71">
        <f>-Y36*SIN((Y42)/180*PI())</f>
        <v>-5.9406675606260979</v>
      </c>
      <c r="Y47" s="72">
        <f>Y36*COS((Y42)/180*PI())</f>
        <v>2.1574003697343</v>
      </c>
      <c r="Z47" s="63"/>
      <c r="AA47" s="64"/>
    </row>
    <row r="48" spans="1:27" s="10" customFormat="1" x14ac:dyDescent="0.3">
      <c r="A48" t="s">
        <v>45</v>
      </c>
      <c r="B48" s="71">
        <f>B47-B18</f>
        <v>0.36508832666893576</v>
      </c>
      <c r="C48" s="72">
        <f>C47-C18</f>
        <v>5.0028465147539669E-3</v>
      </c>
      <c r="D48" s="63"/>
      <c r="E48" s="63"/>
      <c r="F48" s="72">
        <f>F47-F18</f>
        <v>0.39585559197619746</v>
      </c>
      <c r="G48" s="72">
        <f>G47-G18</f>
        <v>-4.3853941202726454E-2</v>
      </c>
      <c r="H48" s="63"/>
      <c r="I48" s="64"/>
      <c r="J48" s="71">
        <f>J47-J18</f>
        <v>0.17949594074210262</v>
      </c>
      <c r="K48" s="72">
        <f>K47-K18</f>
        <v>-6.9637540428135303E-2</v>
      </c>
      <c r="L48" s="63"/>
      <c r="M48" s="63"/>
      <c r="N48" s="72">
        <f t="shared" ref="N48:S48" si="2">N47-N18</f>
        <v>0.15700758340350174</v>
      </c>
      <c r="O48" s="72">
        <f t="shared" si="2"/>
        <v>-8.9641407982583798E-2</v>
      </c>
      <c r="P48" s="72">
        <f t="shared" si="2"/>
        <v>-74.8011476538843</v>
      </c>
      <c r="Q48" s="125">
        <f t="shared" si="2"/>
        <v>73.941354799757022</v>
      </c>
      <c r="R48" s="71">
        <f t="shared" si="2"/>
        <v>-0.22352947888854491</v>
      </c>
      <c r="S48" s="72">
        <f t="shared" si="2"/>
        <v>5.2092080865671075E-2</v>
      </c>
      <c r="T48" s="63"/>
      <c r="U48" s="64"/>
      <c r="V48" s="71">
        <f>V47-V18</f>
        <v>0.53181462113166189</v>
      </c>
      <c r="W48" s="125">
        <f>W47-W18</f>
        <v>0.71371696299292076</v>
      </c>
      <c r="X48" s="71">
        <f>X47-X18</f>
        <v>-0.42578706999349514</v>
      </c>
      <c r="Y48" s="72">
        <f>Y47-Y18</f>
        <v>1.6104226264204158E-2</v>
      </c>
      <c r="Z48" s="63"/>
      <c r="AA48" s="64"/>
    </row>
    <row r="49" spans="1:27" x14ac:dyDescent="0.3">
      <c r="A49" t="s">
        <v>46</v>
      </c>
      <c r="B49" s="117">
        <f>B48^2</f>
        <v>0.13328948626992354</v>
      </c>
      <c r="C49" s="118">
        <f>C48^2</f>
        <v>2.5028473250185915E-5</v>
      </c>
      <c r="D49" s="63"/>
      <c r="E49" s="63"/>
      <c r="F49" s="118">
        <f>F48^2</f>
        <v>0.15670164969882572</v>
      </c>
      <c r="G49" s="118">
        <f>G48^2</f>
        <v>1.9231681590121889E-3</v>
      </c>
      <c r="H49" s="63"/>
      <c r="I49" s="64"/>
      <c r="J49" s="117">
        <f>J48^2</f>
        <v>3.2218792742892417E-2</v>
      </c>
      <c r="K49" s="118">
        <f>K48^2</f>
        <v>4.8493870368801787E-3</v>
      </c>
      <c r="L49" s="63"/>
      <c r="M49" s="63"/>
      <c r="N49" s="118">
        <f t="shared" ref="N49:S49" si="3">N48^2</f>
        <v>2.4651381246207554E-2</v>
      </c>
      <c r="O49" s="118">
        <f t="shared" si="3"/>
        <v>8.0355820251000378E-3</v>
      </c>
      <c r="P49" s="118">
        <f t="shared" si="3"/>
        <v>5595.2116903382012</v>
      </c>
      <c r="Q49" s="128">
        <f t="shared" si="3"/>
        <v>5467.323949623551</v>
      </c>
      <c r="R49" s="117">
        <f t="shared" si="3"/>
        <v>4.9965427932184441E-2</v>
      </c>
      <c r="S49" s="118">
        <f t="shared" si="3"/>
        <v>2.7135848889156145E-3</v>
      </c>
      <c r="T49" s="63"/>
      <c r="U49" s="64"/>
      <c r="V49" s="117">
        <f>V48^2</f>
        <v>0.28282679124941307</v>
      </c>
      <c r="W49" s="128">
        <f>W48^2</f>
        <v>0.50939190326383821</v>
      </c>
      <c r="X49" s="117">
        <f>X48^2</f>
        <v>0.18129462897364554</v>
      </c>
      <c r="Y49" s="118">
        <f>Y48^2</f>
        <v>2.5934610356868301E-4</v>
      </c>
      <c r="Z49" s="63"/>
      <c r="AA49" s="64"/>
    </row>
    <row r="50" spans="1:27" s="10" customFormat="1" x14ac:dyDescent="0.3">
      <c r="A50" t="s">
        <v>47</v>
      </c>
      <c r="B50" s="71"/>
      <c r="C50" s="72">
        <f>SQRT(B49+C49)</f>
        <v>0.36512260234498456</v>
      </c>
      <c r="D50" s="63"/>
      <c r="E50" s="63"/>
      <c r="F50" s="72"/>
      <c r="G50" s="72">
        <f>SQRT(F49+G49)</f>
        <v>0.39827731275813077</v>
      </c>
      <c r="H50" s="63"/>
      <c r="I50" s="64"/>
      <c r="J50" s="71"/>
      <c r="K50" s="72">
        <f>SQRT(J49+K49)</f>
        <v>0.1925309839474483</v>
      </c>
      <c r="L50" s="63"/>
      <c r="M50" s="63"/>
      <c r="N50" s="72"/>
      <c r="O50" s="72">
        <f>SQRT(N49+O49)</f>
        <v>0.18079536296959497</v>
      </c>
      <c r="P50" s="72"/>
      <c r="Q50" s="125">
        <f>SQRT(P49+Q49)</f>
        <v>105.17858926588507</v>
      </c>
      <c r="R50" s="71"/>
      <c r="S50" s="72">
        <f>SQRT(R49+S49)</f>
        <v>0.22951909031952017</v>
      </c>
      <c r="T50" s="63"/>
      <c r="U50" s="64"/>
      <c r="V50" s="71"/>
      <c r="W50" s="125">
        <f>SQRT(V49+W49)</f>
        <v>0.89006667981295151</v>
      </c>
      <c r="X50" s="71"/>
      <c r="Y50" s="72">
        <f>SQRT(X49+Y49)</f>
        <v>0.42609151021489999</v>
      </c>
      <c r="Z50" s="63"/>
      <c r="AA50" s="64"/>
    </row>
    <row r="51" spans="1:27" s="10" customFormat="1" x14ac:dyDescent="0.3">
      <c r="A51" t="s">
        <v>48</v>
      </c>
      <c r="B51" s="71"/>
      <c r="C51" s="77">
        <f>C50/C36</f>
        <v>0.27119308604615205</v>
      </c>
      <c r="D51" s="63"/>
      <c r="E51" s="63"/>
      <c r="F51" s="72"/>
      <c r="G51" s="77">
        <f>G50/G36</f>
        <v>0.30536356986181923</v>
      </c>
      <c r="H51" s="63"/>
      <c r="I51" s="64"/>
      <c r="J51" s="71"/>
      <c r="K51" s="77">
        <f>K50/K36</f>
        <v>0.17684905305425452</v>
      </c>
      <c r="L51" s="63"/>
      <c r="M51" s="63"/>
      <c r="N51" s="72"/>
      <c r="O51" s="77">
        <f>O50/O36</f>
        <v>0.16606931560948304</v>
      </c>
      <c r="P51" s="72"/>
      <c r="Q51" s="158">
        <f>Q50/Q36</f>
        <v>1.4224595904514139</v>
      </c>
      <c r="R51" s="71"/>
      <c r="S51" s="77">
        <f>S50/S36</f>
        <v>4.7833230927299908E-2</v>
      </c>
      <c r="T51" s="63"/>
      <c r="U51" s="64"/>
      <c r="V51" s="71"/>
      <c r="W51" s="158">
        <f>W50/W36</f>
        <v>0.14141100675190327</v>
      </c>
      <c r="X51" s="71"/>
      <c r="Y51" s="77">
        <f>Y50/Y36</f>
        <v>6.741658282870959E-2</v>
      </c>
      <c r="Z51" s="63"/>
      <c r="AA51" s="64"/>
    </row>
    <row r="52" spans="1:27" s="10" customFormat="1" x14ac:dyDescent="0.3">
      <c r="A52"/>
      <c r="B52" s="71"/>
      <c r="C52" s="144"/>
      <c r="D52" s="63"/>
      <c r="E52" s="63"/>
      <c r="F52" s="72"/>
      <c r="G52" s="144"/>
      <c r="H52" s="63"/>
      <c r="I52" s="64"/>
      <c r="J52" s="71"/>
      <c r="K52" s="144"/>
      <c r="L52" s="63"/>
      <c r="M52" s="63"/>
      <c r="N52" s="72"/>
      <c r="O52" s="144"/>
      <c r="P52" s="72"/>
      <c r="Q52" s="159"/>
      <c r="R52" s="71"/>
      <c r="S52" s="144"/>
      <c r="T52" s="63"/>
      <c r="U52" s="64"/>
      <c r="V52" s="71"/>
      <c r="W52" s="159"/>
      <c r="X52" s="71"/>
      <c r="Y52" s="144"/>
      <c r="Z52" s="63"/>
      <c r="AA52" s="64"/>
    </row>
    <row r="53" spans="1:27" s="10" customFormat="1" x14ac:dyDescent="0.3">
      <c r="A53" t="s">
        <v>89</v>
      </c>
      <c r="B53" s="71">
        <f>MEDIAN(B50:G50)</f>
        <v>0.38169995755155767</v>
      </c>
      <c r="C53" s="144"/>
      <c r="D53" s="63"/>
      <c r="E53" s="63"/>
      <c r="F53" s="72"/>
      <c r="G53" s="144"/>
      <c r="H53" s="63"/>
      <c r="I53" s="64"/>
      <c r="J53" s="71">
        <f>MEDIAN(J50:O50)</f>
        <v>0.18666317345852163</v>
      </c>
      <c r="K53" s="144"/>
      <c r="L53" s="63"/>
      <c r="M53" s="63"/>
      <c r="N53" s="72"/>
      <c r="O53" s="144"/>
      <c r="P53" s="72"/>
      <c r="Q53" s="159"/>
      <c r="R53" s="71">
        <f>MEDIAN(S50,Y50)</f>
        <v>0.32780530026721011</v>
      </c>
      <c r="S53" s="144"/>
      <c r="T53" s="63"/>
      <c r="U53" s="64"/>
      <c r="V53" s="71"/>
      <c r="W53" s="159"/>
      <c r="X53" s="71"/>
      <c r="Y53" s="144"/>
      <c r="Z53" s="63"/>
      <c r="AA53" s="64"/>
    </row>
    <row r="54" spans="1:27" s="10" customFormat="1" x14ac:dyDescent="0.3">
      <c r="A54" t="s">
        <v>81</v>
      </c>
      <c r="B54" s="71">
        <f>AVERAGE(B50:G50)</f>
        <v>0.38169995755155767</v>
      </c>
      <c r="C54" s="144"/>
      <c r="D54" s="63"/>
      <c r="E54" s="63"/>
      <c r="F54" s="72"/>
      <c r="G54" s="144"/>
      <c r="H54" s="63"/>
      <c r="I54" s="64"/>
      <c r="J54" s="71">
        <f>AVERAGE(J50:O50)</f>
        <v>0.18666317345852163</v>
      </c>
      <c r="K54" s="144"/>
      <c r="L54" s="63"/>
      <c r="M54" s="63"/>
      <c r="N54" s="72"/>
      <c r="O54" s="144"/>
      <c r="P54" s="72"/>
      <c r="Q54" s="159"/>
      <c r="R54" s="71">
        <f>AVERAGE(S50,Y50)</f>
        <v>0.32780530026721011</v>
      </c>
      <c r="S54" s="144"/>
      <c r="T54" s="63"/>
      <c r="U54" s="64"/>
      <c r="V54" s="71"/>
      <c r="W54" s="159"/>
      <c r="X54" s="71"/>
      <c r="Y54" s="144"/>
      <c r="Z54" s="63"/>
      <c r="AA54" s="64"/>
    </row>
    <row r="55" spans="1:27" s="10" customFormat="1" x14ac:dyDescent="0.3">
      <c r="A55" t="s">
        <v>82</v>
      </c>
      <c r="B55" s="71">
        <f>STDEV(B50:G50)</f>
        <v>2.3443920561411931E-2</v>
      </c>
      <c r="C55" s="144"/>
      <c r="D55" s="63"/>
      <c r="E55" s="63"/>
      <c r="F55" s="72"/>
      <c r="G55" s="144"/>
      <c r="H55" s="63"/>
      <c r="I55" s="64"/>
      <c r="J55" s="71">
        <f>STDEV(J50:O50)</f>
        <v>8.2983371748751901E-3</v>
      </c>
      <c r="K55" s="144"/>
      <c r="L55" s="63"/>
      <c r="M55" s="63"/>
      <c r="N55" s="72"/>
      <c r="O55" s="144"/>
      <c r="P55" s="72"/>
      <c r="Q55" s="159"/>
      <c r="R55" s="71">
        <f>STDEV(S50,Y50)</f>
        <v>0.13899769110227225</v>
      </c>
      <c r="S55" s="144"/>
      <c r="T55" s="63"/>
      <c r="U55" s="64"/>
      <c r="V55" s="71"/>
      <c r="W55" s="159"/>
      <c r="X55" s="71"/>
      <c r="Y55" s="144"/>
      <c r="Z55" s="63"/>
      <c r="AA55" s="64"/>
    </row>
    <row r="56" spans="1:27" s="10" customFormat="1" x14ac:dyDescent="0.3">
      <c r="A56" t="s">
        <v>83</v>
      </c>
      <c r="B56" s="71"/>
      <c r="C56" s="144"/>
      <c r="D56" s="63"/>
      <c r="E56" s="63"/>
      <c r="F56" s="72"/>
      <c r="G56" s="144"/>
      <c r="H56" s="63"/>
      <c r="I56" s="64"/>
      <c r="J56" s="71"/>
      <c r="K56" s="144"/>
      <c r="L56" s="63"/>
      <c r="M56" s="63"/>
      <c r="N56" s="72"/>
      <c r="O56" s="144"/>
      <c r="P56" s="72"/>
      <c r="Q56" s="159"/>
      <c r="R56" s="71"/>
      <c r="S56" s="144"/>
      <c r="T56" s="63"/>
      <c r="U56" s="64"/>
      <c r="V56" s="71"/>
      <c r="W56" s="159"/>
      <c r="X56" s="71"/>
      <c r="Y56" s="144"/>
      <c r="Z56" s="63"/>
      <c r="AA56" s="64"/>
    </row>
    <row r="57" spans="1:27" s="10" customFormat="1" x14ac:dyDescent="0.3">
      <c r="A57"/>
      <c r="B57" s="71"/>
      <c r="C57" s="72"/>
      <c r="D57" s="63"/>
      <c r="E57" s="63"/>
      <c r="F57" s="72"/>
      <c r="G57" s="72"/>
      <c r="H57" s="63"/>
      <c r="I57" s="64"/>
      <c r="J57" s="71"/>
      <c r="K57" s="72"/>
      <c r="L57" s="63"/>
      <c r="M57" s="63"/>
      <c r="N57" s="72"/>
      <c r="O57" s="72"/>
      <c r="P57" s="72"/>
      <c r="Q57" s="125"/>
      <c r="R57" s="71"/>
      <c r="S57" s="72"/>
      <c r="T57" s="63"/>
      <c r="U57" s="64"/>
      <c r="V57" s="71"/>
      <c r="W57" s="125"/>
      <c r="X57" s="71"/>
      <c r="Y57" s="72"/>
      <c r="Z57" s="63"/>
      <c r="AA57" s="64"/>
    </row>
    <row r="58" spans="1:27" s="10" customFormat="1" x14ac:dyDescent="0.3">
      <c r="B58" s="145"/>
      <c r="C58" s="139"/>
      <c r="D58" s="63"/>
      <c r="E58" s="63"/>
      <c r="F58" s="139"/>
      <c r="G58" s="139"/>
      <c r="H58" s="63"/>
      <c r="I58" s="64"/>
      <c r="J58" s="145"/>
      <c r="K58" s="139"/>
      <c r="L58" s="63"/>
      <c r="M58" s="63"/>
      <c r="N58" s="139"/>
      <c r="O58" s="139"/>
      <c r="P58" s="139"/>
      <c r="Q58" s="140"/>
      <c r="R58" s="145"/>
      <c r="S58" s="139"/>
      <c r="T58" s="63"/>
      <c r="U58" s="64"/>
      <c r="V58" s="145"/>
      <c r="W58" s="140"/>
      <c r="X58" s="145"/>
      <c r="Y58" s="139"/>
      <c r="Z58" s="63"/>
      <c r="AA58" s="64"/>
    </row>
    <row r="59" spans="1:27" x14ac:dyDescent="0.3">
      <c r="A59" s="7" t="s">
        <v>115</v>
      </c>
      <c r="B59" s="146">
        <f>AVERAGE(B36:G36)</f>
        <v>1.3253145619415547</v>
      </c>
      <c r="C59" s="118"/>
      <c r="D59" s="63"/>
      <c r="E59" s="63"/>
      <c r="F59" s="147"/>
      <c r="G59" s="118"/>
      <c r="H59" s="63"/>
      <c r="I59" s="64"/>
      <c r="J59" s="146">
        <f>AVERAGE(J36:O36)</f>
        <v>1.0886741015705796</v>
      </c>
      <c r="K59" s="118"/>
      <c r="L59" s="63"/>
      <c r="M59" s="63"/>
      <c r="N59" s="147"/>
      <c r="O59" s="118"/>
      <c r="P59" s="147"/>
      <c r="Q59" s="128"/>
      <c r="R59" s="146"/>
      <c r="S59" s="118"/>
      <c r="T59" s="63"/>
      <c r="U59" s="64"/>
      <c r="V59" s="168"/>
      <c r="W59" s="128"/>
      <c r="X59" s="168"/>
      <c r="Y59" s="118"/>
      <c r="Z59" s="63"/>
      <c r="AA59" s="64"/>
    </row>
    <row r="60" spans="1:27" x14ac:dyDescent="0.3">
      <c r="A60" s="10" t="s">
        <v>116</v>
      </c>
      <c r="B60" s="146">
        <f>STDEV(B36:G36)</f>
        <v>2.9757941194454341E-2</v>
      </c>
      <c r="C60" s="118"/>
      <c r="D60" s="63"/>
      <c r="E60" s="63"/>
      <c r="F60" s="118"/>
      <c r="G60" s="118"/>
      <c r="H60" s="63"/>
      <c r="I60" s="64"/>
      <c r="J60" s="146">
        <f>STDEV(J36:O36)</f>
        <v>0</v>
      </c>
      <c r="K60" s="118"/>
      <c r="L60" s="63"/>
      <c r="M60" s="63"/>
      <c r="N60" s="118"/>
      <c r="O60" s="118"/>
      <c r="P60" s="118"/>
      <c r="Q60" s="128"/>
      <c r="R60" s="146"/>
      <c r="S60" s="118"/>
      <c r="T60" s="63"/>
      <c r="U60" s="64"/>
      <c r="V60" s="117"/>
      <c r="W60" s="128"/>
      <c r="X60" s="117"/>
      <c r="Y60" s="118"/>
      <c r="Z60" s="63"/>
      <c r="AA60" s="64"/>
    </row>
    <row r="61" spans="1:27" x14ac:dyDescent="0.3">
      <c r="A61" s="10" t="s">
        <v>117</v>
      </c>
      <c r="B61" s="146">
        <f>AVERAGE(B42:G42)</f>
        <v>75.414003406436564</v>
      </c>
      <c r="C61" s="118"/>
      <c r="D61" s="63"/>
      <c r="E61" s="63"/>
      <c r="F61" s="141"/>
      <c r="G61" s="118"/>
      <c r="H61" s="63"/>
      <c r="I61" s="64"/>
      <c r="J61" s="146">
        <f>AVERAGE(J42:O42)</f>
        <v>41.653766777030967</v>
      </c>
      <c r="K61" s="118"/>
      <c r="L61" s="63"/>
      <c r="M61" s="63"/>
      <c r="N61" s="141"/>
      <c r="O61" s="118"/>
      <c r="P61" s="141"/>
      <c r="Q61" s="128"/>
      <c r="R61" s="146"/>
      <c r="S61" s="118"/>
      <c r="T61" s="63"/>
      <c r="U61" s="64"/>
      <c r="V61" s="169"/>
      <c r="W61" s="128"/>
      <c r="X61" s="169"/>
      <c r="Y61" s="118"/>
      <c r="Z61" s="63"/>
      <c r="AA61" s="64"/>
    </row>
    <row r="62" spans="1:27" ht="15" thickBot="1" x14ac:dyDescent="0.35">
      <c r="A62" s="10" t="s">
        <v>118</v>
      </c>
      <c r="B62" s="148">
        <f>STDEV(B42:G42)</f>
        <v>1.2085791894640885</v>
      </c>
      <c r="C62" s="149"/>
      <c r="D62" s="78"/>
      <c r="E62" s="78"/>
      <c r="F62" s="149"/>
      <c r="G62" s="149"/>
      <c r="H62" s="78"/>
      <c r="I62" s="79"/>
      <c r="J62" s="172">
        <f>STDEV(J42:O42)</f>
        <v>1.1201060270756324</v>
      </c>
      <c r="K62" s="149"/>
      <c r="L62" s="78"/>
      <c r="M62" s="78"/>
      <c r="N62" s="149"/>
      <c r="O62" s="149"/>
      <c r="P62" s="149"/>
      <c r="Q62" s="160"/>
      <c r="R62" s="161"/>
      <c r="S62" s="149"/>
      <c r="T62" s="78"/>
      <c r="U62" s="79"/>
      <c r="V62" s="170"/>
      <c r="W62" s="160"/>
      <c r="X62" s="170"/>
      <c r="Y62" s="149"/>
      <c r="Z62" s="78"/>
      <c r="AA62" s="79"/>
    </row>
  </sheetData>
  <mergeCells count="28">
    <mergeCell ref="X34:Y34"/>
    <mergeCell ref="V19:W19"/>
    <mergeCell ref="X19:Y19"/>
    <mergeCell ref="B34:C34"/>
    <mergeCell ref="F34:G34"/>
    <mergeCell ref="J34:K34"/>
    <mergeCell ref="N34:O34"/>
    <mergeCell ref="P34:Q34"/>
    <mergeCell ref="V34:W34"/>
    <mergeCell ref="B19:C19"/>
    <mergeCell ref="L10:M10"/>
    <mergeCell ref="X10:Y10"/>
    <mergeCell ref="Z10:AA10"/>
    <mergeCell ref="F19:G19"/>
    <mergeCell ref="J19:K19"/>
    <mergeCell ref="N19:O19"/>
    <mergeCell ref="P19:Q19"/>
    <mergeCell ref="R19:S19"/>
    <mergeCell ref="N10:O10"/>
    <mergeCell ref="P10:Q10"/>
    <mergeCell ref="T10:U10"/>
    <mergeCell ref="V10:W10"/>
    <mergeCell ref="R10:S10"/>
    <mergeCell ref="B10:C10"/>
    <mergeCell ref="D10:E10"/>
    <mergeCell ref="F10:G10"/>
    <mergeCell ref="H10:I10"/>
    <mergeCell ref="J10:K10"/>
  </mergeCells>
  <phoneticPr fontId="10" type="noConversion"/>
  <pageMargins left="0.7" right="0.7" top="0.75" bottom="0.75" header="0.3" footer="0.3"/>
  <pageSetup scale="3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C62"/>
  <sheetViews>
    <sheetView zoomScale="85" zoomScaleNormal="85" workbookViewId="0">
      <pane xSplit="1" ySplit="2" topLeftCell="BP33" activePane="bottomRight" state="frozenSplit"/>
      <selection pane="topRight"/>
      <selection pane="bottomLeft" activeCell="A3" sqref="A3"/>
      <selection pane="bottomRight" activeCell="BV62" sqref="BV62"/>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7" width="11.6640625" customWidth="1"/>
    <col min="18" max="19" width="9.109375" style="29" customWidth="1"/>
    <col min="20" max="21" width="9.109375" style="137" customWidth="1"/>
    <col min="22" max="23" width="9.109375" style="49" customWidth="1"/>
    <col min="24" max="25" width="9.109375" style="137" customWidth="1"/>
    <col min="26" max="27" width="9.109375" style="49" customWidth="1"/>
    <col min="28" max="29" width="9.109375" style="137" customWidth="1"/>
    <col min="30" max="31" width="9.109375" style="49" customWidth="1"/>
    <col min="32" max="35" width="11.6640625" style="118" customWidth="1"/>
    <col min="36" max="37" width="9.109375" style="63" customWidth="1"/>
    <col min="38" max="41" width="11.6640625" customWidth="1"/>
    <col min="42" max="43" width="9.109375" style="49" customWidth="1"/>
    <col min="44" max="45" width="11.6640625" style="215" customWidth="1"/>
    <col min="46" max="47" width="9.109375" style="49" customWidth="1"/>
    <col min="48" max="49" width="11.6640625" style="215" customWidth="1"/>
    <col min="50" max="51" width="11.6640625" style="28" customWidth="1"/>
    <col min="52" max="53" width="9.109375" style="49" customWidth="1"/>
    <col min="54" max="57" width="11.6640625" style="28" customWidth="1"/>
    <col min="58" max="59" width="9.109375" style="49" customWidth="1"/>
    <col min="60" max="65" width="11.6640625" style="28" customWidth="1"/>
    <col min="66" max="67" width="9.109375" style="49" customWidth="1"/>
    <col min="68" max="71" width="11.6640625" style="28" customWidth="1"/>
    <col min="72" max="73" width="9.109375" style="49" customWidth="1"/>
    <col min="74" max="75" width="11.6640625" style="28" customWidth="1"/>
    <col min="76" max="77" width="9.109375" style="49" customWidth="1"/>
    <col min="78" max="79" width="11.6640625" style="28" customWidth="1"/>
    <col min="80" max="81" width="9.109375" style="49" customWidth="1"/>
  </cols>
  <sheetData>
    <row r="1" spans="1:81" s="19" customFormat="1" x14ac:dyDescent="0.3">
      <c r="A1" s="20" t="s">
        <v>39</v>
      </c>
      <c r="B1" s="113"/>
      <c r="C1" s="114"/>
      <c r="D1" s="59"/>
      <c r="E1" s="59"/>
      <c r="F1" s="114"/>
      <c r="G1" s="114"/>
      <c r="H1" s="59"/>
      <c r="I1" s="59"/>
      <c r="J1" s="113"/>
      <c r="K1" s="114"/>
      <c r="L1" s="114"/>
      <c r="M1" s="114"/>
      <c r="N1" s="114"/>
      <c r="O1" s="150"/>
      <c r="P1" s="113"/>
      <c r="Q1" s="114"/>
      <c r="R1" s="80"/>
      <c r="S1" s="81"/>
      <c r="T1" s="177"/>
      <c r="U1" s="177"/>
      <c r="V1" s="59"/>
      <c r="W1" s="60"/>
      <c r="X1" s="177"/>
      <c r="Y1" s="177"/>
      <c r="Z1" s="59"/>
      <c r="AA1" s="60"/>
      <c r="AB1" s="177"/>
      <c r="AC1" s="177"/>
      <c r="AD1" s="59"/>
      <c r="AE1" s="59"/>
      <c r="AF1" s="113"/>
      <c r="AG1" s="114"/>
      <c r="AH1" s="114"/>
      <c r="AI1" s="114"/>
      <c r="AJ1" s="59"/>
      <c r="AK1" s="59"/>
      <c r="AL1" s="113"/>
      <c r="AM1" s="114"/>
      <c r="AN1" s="114"/>
      <c r="AO1" s="150"/>
      <c r="AP1" s="59"/>
      <c r="AQ1" s="60"/>
      <c r="AR1" s="190"/>
      <c r="AS1" s="191"/>
      <c r="AT1" s="59"/>
      <c r="AU1" s="60"/>
      <c r="AV1" s="190"/>
      <c r="AW1" s="191"/>
      <c r="AX1" s="113"/>
      <c r="AY1" s="114"/>
      <c r="AZ1" s="59"/>
      <c r="BA1" s="59"/>
      <c r="BB1" s="114"/>
      <c r="BC1" s="150"/>
      <c r="BD1" s="113"/>
      <c r="BE1" s="114"/>
      <c r="BF1" s="59"/>
      <c r="BG1" s="59"/>
      <c r="BH1" s="114"/>
      <c r="BI1" s="114"/>
      <c r="BJ1" s="113"/>
      <c r="BK1" s="114"/>
      <c r="BL1" s="114"/>
      <c r="BM1" s="114"/>
      <c r="BN1" s="59"/>
      <c r="BO1" s="60"/>
      <c r="BP1" s="114"/>
      <c r="BQ1" s="114"/>
      <c r="BR1" s="114"/>
      <c r="BS1" s="114"/>
      <c r="BT1" s="59"/>
      <c r="BU1" s="60"/>
      <c r="BV1" s="113"/>
      <c r="BW1" s="114"/>
      <c r="BX1" s="59"/>
      <c r="BY1" s="59"/>
      <c r="BZ1" s="113"/>
      <c r="CA1" s="114"/>
      <c r="CB1" s="59"/>
      <c r="CC1" s="60"/>
    </row>
    <row r="2" spans="1:81" s="13" customFormat="1" x14ac:dyDescent="0.3">
      <c r="B2" s="115"/>
      <c r="C2" s="116" t="s">
        <v>195</v>
      </c>
      <c r="D2" s="61"/>
      <c r="E2" s="61" t="s">
        <v>196</v>
      </c>
      <c r="F2" s="116"/>
      <c r="G2" s="116" t="s">
        <v>197</v>
      </c>
      <c r="H2" s="61"/>
      <c r="I2" s="61" t="s">
        <v>198</v>
      </c>
      <c r="J2" s="115"/>
      <c r="K2" s="116" t="s">
        <v>199</v>
      </c>
      <c r="L2" s="116"/>
      <c r="M2" s="116" t="s">
        <v>201</v>
      </c>
      <c r="N2" s="61"/>
      <c r="O2" s="62" t="s">
        <v>200</v>
      </c>
      <c r="P2" s="115"/>
      <c r="Q2" s="116" t="s">
        <v>232</v>
      </c>
      <c r="R2" s="82"/>
      <c r="S2" s="83" t="s">
        <v>234</v>
      </c>
      <c r="T2" s="178"/>
      <c r="U2" s="178" t="s">
        <v>236</v>
      </c>
      <c r="V2" s="61"/>
      <c r="W2" s="62" t="s">
        <v>238</v>
      </c>
      <c r="X2" s="178"/>
      <c r="Y2" s="178" t="s">
        <v>245</v>
      </c>
      <c r="Z2" s="61"/>
      <c r="AA2" s="62" t="s">
        <v>246</v>
      </c>
      <c r="AB2" s="178"/>
      <c r="AC2" s="178" t="s">
        <v>247</v>
      </c>
      <c r="AD2" s="61"/>
      <c r="AE2" s="61" t="s">
        <v>248</v>
      </c>
      <c r="AF2" s="115"/>
      <c r="AG2" s="116" t="s">
        <v>241</v>
      </c>
      <c r="AH2" s="116"/>
      <c r="AI2" s="116" t="s">
        <v>240</v>
      </c>
      <c r="AJ2" s="61"/>
      <c r="AK2" s="61" t="s">
        <v>242</v>
      </c>
      <c r="AL2" s="115"/>
      <c r="AM2" s="116" t="s">
        <v>243</v>
      </c>
      <c r="AN2" s="116"/>
      <c r="AO2" s="151" t="s">
        <v>244</v>
      </c>
      <c r="AP2" s="61"/>
      <c r="AQ2" s="62" t="s">
        <v>249</v>
      </c>
      <c r="AR2" s="192"/>
      <c r="AS2" s="193" t="s">
        <v>250</v>
      </c>
      <c r="AT2" s="61"/>
      <c r="AU2" s="62" t="s">
        <v>251</v>
      </c>
      <c r="AV2" s="192"/>
      <c r="AW2" s="193" t="s">
        <v>252</v>
      </c>
      <c r="AX2" s="115"/>
      <c r="AY2" s="116" t="s">
        <v>253</v>
      </c>
      <c r="AZ2" s="61"/>
      <c r="BA2" s="61" t="s">
        <v>254</v>
      </c>
      <c r="BB2" s="116"/>
      <c r="BC2" s="151" t="s">
        <v>255</v>
      </c>
      <c r="BD2" s="115"/>
      <c r="BE2" s="116" t="s">
        <v>256</v>
      </c>
      <c r="BF2" s="61"/>
      <c r="BG2" s="61" t="s">
        <v>258</v>
      </c>
      <c r="BH2" s="116"/>
      <c r="BI2" s="116" t="s">
        <v>257</v>
      </c>
      <c r="BJ2" s="115"/>
      <c r="BK2" s="116" t="s">
        <v>261</v>
      </c>
      <c r="BL2" s="116"/>
      <c r="BM2" s="116" t="s">
        <v>262</v>
      </c>
      <c r="BN2" s="61"/>
      <c r="BO2" s="62" t="s">
        <v>263</v>
      </c>
      <c r="BP2" s="116"/>
      <c r="BQ2" s="116" t="s">
        <v>264</v>
      </c>
      <c r="BR2" s="116"/>
      <c r="BS2" s="116" t="s">
        <v>265</v>
      </c>
      <c r="BT2" s="61"/>
      <c r="BU2" s="62" t="s">
        <v>266</v>
      </c>
      <c r="BV2" s="115"/>
      <c r="BW2" s="116" t="s">
        <v>268</v>
      </c>
      <c r="BX2" s="61"/>
      <c r="BY2" s="61" t="s">
        <v>269</v>
      </c>
      <c r="BZ2" s="115"/>
      <c r="CA2" s="116" t="s">
        <v>270</v>
      </c>
      <c r="CB2" s="61"/>
      <c r="CC2" s="62" t="s">
        <v>271</v>
      </c>
    </row>
    <row r="3" spans="1:81" s="13" customFormat="1" x14ac:dyDescent="0.3">
      <c r="B3" s="115" t="s">
        <v>61</v>
      </c>
      <c r="C3" s="116" t="s">
        <v>60</v>
      </c>
      <c r="D3" s="61"/>
      <c r="E3" s="61"/>
      <c r="F3" s="116" t="s">
        <v>61</v>
      </c>
      <c r="G3" s="116" t="s">
        <v>60</v>
      </c>
      <c r="H3" s="61"/>
      <c r="I3" s="61"/>
      <c r="J3" s="115" t="s">
        <v>61</v>
      </c>
      <c r="K3" s="116" t="s">
        <v>60</v>
      </c>
      <c r="L3" s="116" t="s">
        <v>61</v>
      </c>
      <c r="M3" s="116" t="s">
        <v>60</v>
      </c>
      <c r="N3" s="116"/>
      <c r="O3" s="151"/>
      <c r="P3" s="115" t="s">
        <v>61</v>
      </c>
      <c r="Q3" s="116" t="s">
        <v>60</v>
      </c>
      <c r="R3" s="82"/>
      <c r="S3" s="83"/>
      <c r="T3" s="178"/>
      <c r="U3" s="178"/>
      <c r="V3" s="61"/>
      <c r="W3" s="62"/>
      <c r="X3" s="178"/>
      <c r="Y3" s="178"/>
      <c r="Z3" s="61"/>
      <c r="AA3" s="62"/>
      <c r="AB3" s="178"/>
      <c r="AC3" s="178"/>
      <c r="AD3" s="61"/>
      <c r="AE3" s="61"/>
      <c r="AF3" s="115" t="s">
        <v>61</v>
      </c>
      <c r="AG3" s="116" t="s">
        <v>60</v>
      </c>
      <c r="AH3" s="116" t="s">
        <v>61</v>
      </c>
      <c r="AI3" s="116" t="s">
        <v>60</v>
      </c>
      <c r="AJ3" s="61"/>
      <c r="AK3" s="61"/>
      <c r="AL3" s="115" t="s">
        <v>61</v>
      </c>
      <c r="AM3" s="116" t="s">
        <v>60</v>
      </c>
      <c r="AN3" s="116" t="s">
        <v>61</v>
      </c>
      <c r="AO3" s="151" t="s">
        <v>60</v>
      </c>
      <c r="AP3" s="61"/>
      <c r="AQ3" s="62"/>
      <c r="AR3" s="192" t="s">
        <v>61</v>
      </c>
      <c r="AS3" s="193" t="s">
        <v>60</v>
      </c>
      <c r="AT3" s="61"/>
      <c r="AU3" s="62"/>
      <c r="AV3" s="192" t="s">
        <v>61</v>
      </c>
      <c r="AW3" s="193" t="s">
        <v>60</v>
      </c>
      <c r="AX3" s="115" t="s">
        <v>61</v>
      </c>
      <c r="AY3" s="116" t="s">
        <v>60</v>
      </c>
      <c r="AZ3" s="61"/>
      <c r="BA3" s="61"/>
      <c r="BB3" s="116" t="s">
        <v>61</v>
      </c>
      <c r="BC3" s="151" t="s">
        <v>60</v>
      </c>
      <c r="BD3" s="115" t="s">
        <v>61</v>
      </c>
      <c r="BE3" s="116" t="s">
        <v>60</v>
      </c>
      <c r="BF3" s="61"/>
      <c r="BG3" s="61"/>
      <c r="BH3" s="116" t="s">
        <v>61</v>
      </c>
      <c r="BI3" s="116" t="s">
        <v>60</v>
      </c>
      <c r="BJ3" s="115" t="s">
        <v>61</v>
      </c>
      <c r="BK3" s="116" t="s">
        <v>60</v>
      </c>
      <c r="BL3" s="116" t="s">
        <v>61</v>
      </c>
      <c r="BM3" s="116" t="s">
        <v>60</v>
      </c>
      <c r="BN3" s="61"/>
      <c r="BO3" s="62"/>
      <c r="BP3" s="116" t="s">
        <v>61</v>
      </c>
      <c r="BQ3" s="116" t="s">
        <v>60</v>
      </c>
      <c r="BR3" s="116" t="s">
        <v>61</v>
      </c>
      <c r="BS3" s="116" t="s">
        <v>60</v>
      </c>
      <c r="BT3" s="61"/>
      <c r="BU3" s="62"/>
      <c r="BV3" s="115" t="s">
        <v>61</v>
      </c>
      <c r="BW3" s="116" t="s">
        <v>60</v>
      </c>
      <c r="BX3" s="61"/>
      <c r="BY3" s="61"/>
      <c r="BZ3" s="115" t="s">
        <v>61</v>
      </c>
      <c r="CA3" s="116" t="s">
        <v>60</v>
      </c>
      <c r="CB3" s="61"/>
      <c r="CC3" s="62"/>
    </row>
    <row r="4" spans="1:81" x14ac:dyDescent="0.3">
      <c r="A4" t="s">
        <v>1</v>
      </c>
      <c r="B4" s="117">
        <v>588</v>
      </c>
      <c r="C4" s="118">
        <v>445</v>
      </c>
      <c r="D4" s="63">
        <v>507</v>
      </c>
      <c r="E4" s="63">
        <v>658</v>
      </c>
      <c r="F4" s="118">
        <v>654</v>
      </c>
      <c r="G4" s="118">
        <v>550</v>
      </c>
      <c r="H4" s="63">
        <v>925</v>
      </c>
      <c r="I4" s="63">
        <v>522</v>
      </c>
      <c r="J4" s="117">
        <v>653</v>
      </c>
      <c r="K4" s="118">
        <v>521</v>
      </c>
      <c r="L4" s="118">
        <v>650</v>
      </c>
      <c r="M4" s="118">
        <v>527</v>
      </c>
      <c r="N4" s="63">
        <v>652</v>
      </c>
      <c r="O4" s="64">
        <v>699</v>
      </c>
      <c r="P4" s="117">
        <v>721</v>
      </c>
      <c r="Q4" s="118">
        <v>611</v>
      </c>
      <c r="R4" s="73">
        <v>505</v>
      </c>
      <c r="S4" s="74">
        <v>478</v>
      </c>
      <c r="T4" s="179">
        <v>696</v>
      </c>
      <c r="U4" s="179">
        <v>528</v>
      </c>
      <c r="V4" s="63">
        <v>871</v>
      </c>
      <c r="W4" s="64">
        <v>523</v>
      </c>
      <c r="X4" s="179">
        <v>650</v>
      </c>
      <c r="Y4" s="179">
        <v>466</v>
      </c>
      <c r="Z4" s="63">
        <v>1012</v>
      </c>
      <c r="AA4" s="64">
        <v>478</v>
      </c>
      <c r="AB4" s="179">
        <v>588</v>
      </c>
      <c r="AC4" s="179">
        <v>429</v>
      </c>
      <c r="AD4" s="63">
        <v>553</v>
      </c>
      <c r="AE4" s="63">
        <v>635</v>
      </c>
      <c r="AF4" s="117">
        <v>792</v>
      </c>
      <c r="AG4" s="118">
        <v>449</v>
      </c>
      <c r="AH4" s="118">
        <v>792</v>
      </c>
      <c r="AI4" s="118">
        <v>449</v>
      </c>
      <c r="AJ4" s="63">
        <v>788</v>
      </c>
      <c r="AK4" s="63">
        <v>655</v>
      </c>
      <c r="AL4" s="117">
        <v>724</v>
      </c>
      <c r="AM4" s="118">
        <v>379</v>
      </c>
      <c r="AN4" s="118">
        <v>724</v>
      </c>
      <c r="AO4" s="128">
        <v>379</v>
      </c>
      <c r="AP4" s="63">
        <v>894</v>
      </c>
      <c r="AQ4" s="64">
        <v>391</v>
      </c>
      <c r="AR4" s="194">
        <v>654</v>
      </c>
      <c r="AS4" s="195">
        <v>407</v>
      </c>
      <c r="AT4" s="63">
        <v>638</v>
      </c>
      <c r="AU4" s="64">
        <v>682</v>
      </c>
      <c r="AV4" s="194">
        <v>634</v>
      </c>
      <c r="AW4" s="195">
        <v>542</v>
      </c>
      <c r="AX4" s="216">
        <v>584</v>
      </c>
      <c r="AY4" s="217">
        <v>417</v>
      </c>
      <c r="AZ4" s="63">
        <v>995</v>
      </c>
      <c r="BA4" s="63">
        <v>404</v>
      </c>
      <c r="BB4" s="217">
        <v>626</v>
      </c>
      <c r="BC4" s="235">
        <v>474</v>
      </c>
      <c r="BD4" s="216">
        <v>537</v>
      </c>
      <c r="BE4" s="217">
        <v>438</v>
      </c>
      <c r="BF4" s="63">
        <v>745</v>
      </c>
      <c r="BG4" s="63">
        <v>693</v>
      </c>
      <c r="BH4" s="217">
        <v>608</v>
      </c>
      <c r="BI4" s="217">
        <v>499</v>
      </c>
      <c r="BJ4" s="216">
        <v>657</v>
      </c>
      <c r="BK4" s="217">
        <v>609</v>
      </c>
      <c r="BL4" s="217">
        <v>657</v>
      </c>
      <c r="BM4" s="217">
        <v>609</v>
      </c>
      <c r="BN4" s="63">
        <v>629</v>
      </c>
      <c r="BO4" s="64">
        <v>748</v>
      </c>
      <c r="BP4" s="217">
        <v>622</v>
      </c>
      <c r="BQ4" s="217">
        <v>427</v>
      </c>
      <c r="BR4" s="217">
        <v>622</v>
      </c>
      <c r="BS4" s="217">
        <v>427</v>
      </c>
      <c r="BT4" s="63">
        <v>1049</v>
      </c>
      <c r="BU4" s="64">
        <v>349</v>
      </c>
      <c r="BV4" s="216">
        <v>690</v>
      </c>
      <c r="BW4" s="217">
        <v>512</v>
      </c>
      <c r="BX4" s="63">
        <v>892</v>
      </c>
      <c r="BY4" s="63">
        <v>460</v>
      </c>
      <c r="BZ4" s="216">
        <v>617</v>
      </c>
      <c r="CA4" s="217">
        <v>459</v>
      </c>
      <c r="CB4" s="63">
        <v>635</v>
      </c>
      <c r="CC4" s="64">
        <v>724</v>
      </c>
    </row>
    <row r="5" spans="1:81" x14ac:dyDescent="0.3">
      <c r="A5" t="s">
        <v>2</v>
      </c>
      <c r="B5" s="117">
        <v>583</v>
      </c>
      <c r="C5" s="118">
        <v>458</v>
      </c>
      <c r="D5" s="63">
        <v>588</v>
      </c>
      <c r="E5" s="63">
        <v>6</v>
      </c>
      <c r="F5" s="74">
        <v>669</v>
      </c>
      <c r="G5" s="74">
        <v>552</v>
      </c>
      <c r="H5" s="63">
        <v>292</v>
      </c>
      <c r="I5" s="63">
        <v>616</v>
      </c>
      <c r="J5" s="73">
        <v>662</v>
      </c>
      <c r="K5" s="74">
        <v>526</v>
      </c>
      <c r="L5" s="74">
        <v>644</v>
      </c>
      <c r="M5" s="74">
        <v>535</v>
      </c>
      <c r="N5" s="63">
        <v>590</v>
      </c>
      <c r="O5" s="64">
        <v>58</v>
      </c>
      <c r="P5" s="73">
        <v>802</v>
      </c>
      <c r="Q5" s="74">
        <v>571</v>
      </c>
      <c r="R5" s="73">
        <v>525</v>
      </c>
      <c r="S5" s="74">
        <v>479</v>
      </c>
      <c r="T5" s="179">
        <v>698</v>
      </c>
      <c r="U5" s="179">
        <v>513</v>
      </c>
      <c r="V5" s="63">
        <v>246</v>
      </c>
      <c r="W5" s="64">
        <v>601</v>
      </c>
      <c r="X5" s="179">
        <v>680</v>
      </c>
      <c r="Y5" s="179">
        <v>520</v>
      </c>
      <c r="Z5" s="63">
        <v>340</v>
      </c>
      <c r="AA5" s="64">
        <v>588</v>
      </c>
      <c r="AB5" s="179">
        <v>537</v>
      </c>
      <c r="AC5" s="179">
        <v>427</v>
      </c>
      <c r="AD5" s="63">
        <v>716</v>
      </c>
      <c r="AE5" s="63">
        <v>0</v>
      </c>
      <c r="AF5" s="73">
        <v>759</v>
      </c>
      <c r="AG5" s="74">
        <v>496</v>
      </c>
      <c r="AH5" s="74">
        <v>784</v>
      </c>
      <c r="AI5" s="74">
        <v>454</v>
      </c>
      <c r="AJ5" s="63">
        <v>930</v>
      </c>
      <c r="AK5" s="63">
        <v>41</v>
      </c>
      <c r="AL5" s="73">
        <v>780</v>
      </c>
      <c r="AM5" s="74">
        <v>393</v>
      </c>
      <c r="AN5" s="74">
        <v>731</v>
      </c>
      <c r="AO5" s="138">
        <v>386</v>
      </c>
      <c r="AP5" s="63">
        <v>293</v>
      </c>
      <c r="AQ5" s="64">
        <v>489</v>
      </c>
      <c r="AR5" s="196">
        <v>644</v>
      </c>
      <c r="AS5" s="197">
        <v>410</v>
      </c>
      <c r="AT5" s="63">
        <v>593</v>
      </c>
      <c r="AU5" s="64">
        <v>114</v>
      </c>
      <c r="AV5" s="196">
        <v>632</v>
      </c>
      <c r="AW5" s="197">
        <v>532</v>
      </c>
      <c r="AX5" s="218">
        <v>613</v>
      </c>
      <c r="AY5" s="219">
        <v>380</v>
      </c>
      <c r="AZ5" s="63">
        <v>422</v>
      </c>
      <c r="BA5" s="63">
        <v>495</v>
      </c>
      <c r="BB5" s="219">
        <v>582</v>
      </c>
      <c r="BC5" s="236">
        <v>448</v>
      </c>
      <c r="BD5" s="218">
        <v>520</v>
      </c>
      <c r="BE5" s="219">
        <v>452</v>
      </c>
      <c r="BF5" s="63">
        <v>710</v>
      </c>
      <c r="BG5" s="63">
        <v>46</v>
      </c>
      <c r="BH5" s="219">
        <v>596</v>
      </c>
      <c r="BI5" s="219">
        <v>481</v>
      </c>
      <c r="BJ5" s="218">
        <v>651</v>
      </c>
      <c r="BK5" s="219">
        <v>626</v>
      </c>
      <c r="BL5" s="219">
        <v>608</v>
      </c>
      <c r="BM5" s="219">
        <v>552</v>
      </c>
      <c r="BN5" s="63">
        <v>601</v>
      </c>
      <c r="BO5" s="64">
        <v>217</v>
      </c>
      <c r="BP5" s="219">
        <v>638</v>
      </c>
      <c r="BQ5" s="219">
        <v>428</v>
      </c>
      <c r="BR5" s="219">
        <v>578</v>
      </c>
      <c r="BS5" s="219">
        <v>487</v>
      </c>
      <c r="BT5" s="63">
        <v>550</v>
      </c>
      <c r="BU5" s="64">
        <v>491</v>
      </c>
      <c r="BV5" s="218">
        <v>727</v>
      </c>
      <c r="BW5" s="219">
        <v>523</v>
      </c>
      <c r="BX5" s="63">
        <v>365</v>
      </c>
      <c r="BY5" s="63">
        <v>593</v>
      </c>
      <c r="BZ5" s="218">
        <v>600</v>
      </c>
      <c r="CA5" s="219">
        <v>494</v>
      </c>
      <c r="CB5" s="63">
        <v>584</v>
      </c>
      <c r="CC5" s="64">
        <v>230</v>
      </c>
    </row>
    <row r="6" spans="1:81" x14ac:dyDescent="0.3">
      <c r="A6" t="s">
        <v>4</v>
      </c>
      <c r="B6" s="117">
        <f>B5-B4</f>
        <v>-5</v>
      </c>
      <c r="C6" s="118">
        <f>C5-C4</f>
        <v>13</v>
      </c>
      <c r="D6" s="63">
        <f>D5-D4</f>
        <v>81</v>
      </c>
      <c r="E6" s="63">
        <f>E5-E4</f>
        <v>-652</v>
      </c>
      <c r="F6" s="74">
        <f t="shared" ref="F6:AK6" si="0">F5-F4</f>
        <v>15</v>
      </c>
      <c r="G6" s="74">
        <f t="shared" si="0"/>
        <v>2</v>
      </c>
      <c r="H6" s="63">
        <f>H5-H4</f>
        <v>-633</v>
      </c>
      <c r="I6" s="63">
        <f>I5-I4</f>
        <v>94</v>
      </c>
      <c r="J6" s="73">
        <f t="shared" si="0"/>
        <v>9</v>
      </c>
      <c r="K6" s="74">
        <f t="shared" si="0"/>
        <v>5</v>
      </c>
      <c r="L6" s="74">
        <f t="shared" si="0"/>
        <v>-6</v>
      </c>
      <c r="M6" s="74">
        <f t="shared" si="0"/>
        <v>8</v>
      </c>
      <c r="N6" s="63">
        <f t="shared" si="0"/>
        <v>-62</v>
      </c>
      <c r="O6" s="64">
        <f t="shared" si="0"/>
        <v>-641</v>
      </c>
      <c r="P6" s="73">
        <f t="shared" si="0"/>
        <v>81</v>
      </c>
      <c r="Q6" s="74">
        <f t="shared" si="0"/>
        <v>-40</v>
      </c>
      <c r="R6" s="73">
        <f t="shared" si="0"/>
        <v>20</v>
      </c>
      <c r="S6" s="74">
        <f t="shared" si="0"/>
        <v>1</v>
      </c>
      <c r="T6" s="179">
        <f t="shared" ref="T6:AE6" si="1">T5-T4</f>
        <v>2</v>
      </c>
      <c r="U6" s="179">
        <f t="shared" si="1"/>
        <v>-15</v>
      </c>
      <c r="V6" s="63">
        <f t="shared" si="1"/>
        <v>-625</v>
      </c>
      <c r="W6" s="64">
        <f t="shared" si="1"/>
        <v>78</v>
      </c>
      <c r="X6" s="179">
        <f t="shared" si="1"/>
        <v>30</v>
      </c>
      <c r="Y6" s="179">
        <f t="shared" si="1"/>
        <v>54</v>
      </c>
      <c r="Z6" s="63">
        <f t="shared" si="1"/>
        <v>-672</v>
      </c>
      <c r="AA6" s="64">
        <f t="shared" si="1"/>
        <v>110</v>
      </c>
      <c r="AB6" s="179">
        <f t="shared" si="1"/>
        <v>-51</v>
      </c>
      <c r="AC6" s="179">
        <f t="shared" si="1"/>
        <v>-2</v>
      </c>
      <c r="AD6" s="63">
        <f t="shared" si="1"/>
        <v>163</v>
      </c>
      <c r="AE6" s="63">
        <f t="shared" si="1"/>
        <v>-635</v>
      </c>
      <c r="AF6" s="73">
        <f t="shared" si="0"/>
        <v>-33</v>
      </c>
      <c r="AG6" s="74">
        <f t="shared" si="0"/>
        <v>47</v>
      </c>
      <c r="AH6" s="74">
        <f t="shared" si="0"/>
        <v>-8</v>
      </c>
      <c r="AI6" s="74">
        <f t="shared" si="0"/>
        <v>5</v>
      </c>
      <c r="AJ6" s="63">
        <f t="shared" si="0"/>
        <v>142</v>
      </c>
      <c r="AK6" s="63">
        <f t="shared" si="0"/>
        <v>-614</v>
      </c>
      <c r="AL6" s="73">
        <f t="shared" ref="AL6:AS6" si="2">AL5-AL4</f>
        <v>56</v>
      </c>
      <c r="AM6" s="74">
        <f t="shared" si="2"/>
        <v>14</v>
      </c>
      <c r="AN6" s="74">
        <f t="shared" si="2"/>
        <v>7</v>
      </c>
      <c r="AO6" s="138">
        <f t="shared" si="2"/>
        <v>7</v>
      </c>
      <c r="AP6" s="63">
        <f t="shared" si="2"/>
        <v>-601</v>
      </c>
      <c r="AQ6" s="64">
        <f t="shared" si="2"/>
        <v>98</v>
      </c>
      <c r="AR6" s="196">
        <f t="shared" si="2"/>
        <v>-10</v>
      </c>
      <c r="AS6" s="197">
        <f t="shared" si="2"/>
        <v>3</v>
      </c>
      <c r="AT6" s="63">
        <f t="shared" ref="AT6:AY6" si="3">AT5-AT4</f>
        <v>-45</v>
      </c>
      <c r="AU6" s="64">
        <f t="shared" si="3"/>
        <v>-568</v>
      </c>
      <c r="AV6" s="196">
        <f t="shared" si="3"/>
        <v>-2</v>
      </c>
      <c r="AW6" s="197">
        <f t="shared" si="3"/>
        <v>-10</v>
      </c>
      <c r="AX6" s="218">
        <f t="shared" si="3"/>
        <v>29</v>
      </c>
      <c r="AY6" s="219">
        <f t="shared" si="3"/>
        <v>-37</v>
      </c>
      <c r="AZ6" s="63">
        <f t="shared" ref="AZ6:BE6" si="4">AZ5-AZ4</f>
        <v>-573</v>
      </c>
      <c r="BA6" s="63">
        <f t="shared" si="4"/>
        <v>91</v>
      </c>
      <c r="BB6" s="219">
        <f t="shared" si="4"/>
        <v>-44</v>
      </c>
      <c r="BC6" s="236">
        <f t="shared" si="4"/>
        <v>-26</v>
      </c>
      <c r="BD6" s="218">
        <f t="shared" si="4"/>
        <v>-17</v>
      </c>
      <c r="BE6" s="219">
        <f t="shared" si="4"/>
        <v>14</v>
      </c>
      <c r="BF6" s="63">
        <f>BF5-BF4</f>
        <v>-35</v>
      </c>
      <c r="BG6" s="63">
        <f>BG5-BG4</f>
        <v>-647</v>
      </c>
      <c r="BH6" s="219">
        <f>BH5-BH4</f>
        <v>-12</v>
      </c>
      <c r="BI6" s="219">
        <f>BI5-BI4</f>
        <v>-18</v>
      </c>
      <c r="BJ6" s="218">
        <f t="shared" ref="BJ6:BO6" si="5">BJ5-BJ4</f>
        <v>-6</v>
      </c>
      <c r="BK6" s="219">
        <f t="shared" si="5"/>
        <v>17</v>
      </c>
      <c r="BL6" s="219">
        <f t="shared" si="5"/>
        <v>-49</v>
      </c>
      <c r="BM6" s="219">
        <f t="shared" si="5"/>
        <v>-57</v>
      </c>
      <c r="BN6" s="63">
        <f t="shared" si="5"/>
        <v>-28</v>
      </c>
      <c r="BO6" s="64">
        <f t="shared" si="5"/>
        <v>-531</v>
      </c>
      <c r="BP6" s="219">
        <f t="shared" ref="BP6:CC6" si="6">BP5-BP4</f>
        <v>16</v>
      </c>
      <c r="BQ6" s="219">
        <f t="shared" si="6"/>
        <v>1</v>
      </c>
      <c r="BR6" s="219">
        <f t="shared" si="6"/>
        <v>-44</v>
      </c>
      <c r="BS6" s="219">
        <f t="shared" si="6"/>
        <v>60</v>
      </c>
      <c r="BT6" s="63">
        <f t="shared" si="6"/>
        <v>-499</v>
      </c>
      <c r="BU6" s="64">
        <f t="shared" si="6"/>
        <v>142</v>
      </c>
      <c r="BV6" s="218">
        <f t="shared" si="6"/>
        <v>37</v>
      </c>
      <c r="BW6" s="219">
        <f t="shared" si="6"/>
        <v>11</v>
      </c>
      <c r="BX6" s="63">
        <f t="shared" si="6"/>
        <v>-527</v>
      </c>
      <c r="BY6" s="63">
        <f t="shared" si="6"/>
        <v>133</v>
      </c>
      <c r="BZ6" s="218">
        <f t="shared" si="6"/>
        <v>-17</v>
      </c>
      <c r="CA6" s="219">
        <f t="shared" si="6"/>
        <v>35</v>
      </c>
      <c r="CB6" s="63">
        <f t="shared" si="6"/>
        <v>-51</v>
      </c>
      <c r="CC6" s="64">
        <f t="shared" si="6"/>
        <v>-494</v>
      </c>
    </row>
    <row r="7" spans="1:81" x14ac:dyDescent="0.3">
      <c r="A7" t="s">
        <v>5</v>
      </c>
      <c r="B7" s="117">
        <f>B6^2</f>
        <v>25</v>
      </c>
      <c r="C7" s="118">
        <f>C6^2</f>
        <v>169</v>
      </c>
      <c r="D7" s="63">
        <f>D6^2</f>
        <v>6561</v>
      </c>
      <c r="E7" s="63">
        <f>E6^2</f>
        <v>425104</v>
      </c>
      <c r="F7" s="74">
        <f t="shared" ref="F7:AK7" si="7">F6^2</f>
        <v>225</v>
      </c>
      <c r="G7" s="74">
        <f t="shared" si="7"/>
        <v>4</v>
      </c>
      <c r="H7" s="63">
        <f>H6^2</f>
        <v>400689</v>
      </c>
      <c r="I7" s="63">
        <f>I6^2</f>
        <v>8836</v>
      </c>
      <c r="J7" s="73">
        <f t="shared" si="7"/>
        <v>81</v>
      </c>
      <c r="K7" s="74">
        <f t="shared" si="7"/>
        <v>25</v>
      </c>
      <c r="L7" s="74">
        <f t="shared" si="7"/>
        <v>36</v>
      </c>
      <c r="M7" s="74">
        <f t="shared" si="7"/>
        <v>64</v>
      </c>
      <c r="N7" s="63">
        <f t="shared" si="7"/>
        <v>3844</v>
      </c>
      <c r="O7" s="64">
        <f t="shared" si="7"/>
        <v>410881</v>
      </c>
      <c r="P7" s="73">
        <f t="shared" si="7"/>
        <v>6561</v>
      </c>
      <c r="Q7" s="74">
        <f t="shared" si="7"/>
        <v>1600</v>
      </c>
      <c r="R7" s="73">
        <f t="shared" si="7"/>
        <v>400</v>
      </c>
      <c r="S7" s="74">
        <f t="shared" si="7"/>
        <v>1</v>
      </c>
      <c r="T7" s="179">
        <f t="shared" ref="T7:AE7" si="8">T6^2</f>
        <v>4</v>
      </c>
      <c r="U7" s="179">
        <f t="shared" si="8"/>
        <v>225</v>
      </c>
      <c r="V7" s="63">
        <f t="shared" si="8"/>
        <v>390625</v>
      </c>
      <c r="W7" s="64">
        <f t="shared" si="8"/>
        <v>6084</v>
      </c>
      <c r="X7" s="179">
        <f t="shared" si="8"/>
        <v>900</v>
      </c>
      <c r="Y7" s="179">
        <f t="shared" si="8"/>
        <v>2916</v>
      </c>
      <c r="Z7" s="63">
        <f t="shared" si="8"/>
        <v>451584</v>
      </c>
      <c r="AA7" s="64">
        <f t="shared" si="8"/>
        <v>12100</v>
      </c>
      <c r="AB7" s="179">
        <f t="shared" si="8"/>
        <v>2601</v>
      </c>
      <c r="AC7" s="179">
        <f t="shared" si="8"/>
        <v>4</v>
      </c>
      <c r="AD7" s="63">
        <f t="shared" si="8"/>
        <v>26569</v>
      </c>
      <c r="AE7" s="63">
        <f t="shared" si="8"/>
        <v>403225</v>
      </c>
      <c r="AF7" s="73">
        <f t="shared" si="7"/>
        <v>1089</v>
      </c>
      <c r="AG7" s="74">
        <f t="shared" si="7"/>
        <v>2209</v>
      </c>
      <c r="AH7" s="74">
        <f t="shared" si="7"/>
        <v>64</v>
      </c>
      <c r="AI7" s="74">
        <f t="shared" si="7"/>
        <v>25</v>
      </c>
      <c r="AJ7" s="63">
        <f t="shared" si="7"/>
        <v>20164</v>
      </c>
      <c r="AK7" s="63">
        <f t="shared" si="7"/>
        <v>376996</v>
      </c>
      <c r="AL7" s="73">
        <f t="shared" ref="AL7:AS7" si="9">AL6^2</f>
        <v>3136</v>
      </c>
      <c r="AM7" s="74">
        <f t="shared" si="9"/>
        <v>196</v>
      </c>
      <c r="AN7" s="74">
        <f t="shared" si="9"/>
        <v>49</v>
      </c>
      <c r="AO7" s="138">
        <f t="shared" si="9"/>
        <v>49</v>
      </c>
      <c r="AP7" s="63">
        <f t="shared" si="9"/>
        <v>361201</v>
      </c>
      <c r="AQ7" s="64">
        <f t="shared" si="9"/>
        <v>9604</v>
      </c>
      <c r="AR7" s="196">
        <f t="shared" si="9"/>
        <v>100</v>
      </c>
      <c r="AS7" s="197">
        <f t="shared" si="9"/>
        <v>9</v>
      </c>
      <c r="AT7" s="63">
        <f t="shared" ref="AT7:AY7" si="10">AT6^2</f>
        <v>2025</v>
      </c>
      <c r="AU7" s="64">
        <f t="shared" si="10"/>
        <v>322624</v>
      </c>
      <c r="AV7" s="196">
        <f t="shared" si="10"/>
        <v>4</v>
      </c>
      <c r="AW7" s="197">
        <f t="shared" si="10"/>
        <v>100</v>
      </c>
      <c r="AX7" s="218">
        <f t="shared" si="10"/>
        <v>841</v>
      </c>
      <c r="AY7" s="219">
        <f t="shared" si="10"/>
        <v>1369</v>
      </c>
      <c r="AZ7" s="63">
        <f t="shared" ref="AZ7:BE7" si="11">AZ6^2</f>
        <v>328329</v>
      </c>
      <c r="BA7" s="63">
        <f t="shared" si="11"/>
        <v>8281</v>
      </c>
      <c r="BB7" s="219">
        <f t="shared" si="11"/>
        <v>1936</v>
      </c>
      <c r="BC7" s="236">
        <f t="shared" si="11"/>
        <v>676</v>
      </c>
      <c r="BD7" s="218">
        <f t="shared" si="11"/>
        <v>289</v>
      </c>
      <c r="BE7" s="219">
        <f t="shared" si="11"/>
        <v>196</v>
      </c>
      <c r="BF7" s="63">
        <f>BF6^2</f>
        <v>1225</v>
      </c>
      <c r="BG7" s="63">
        <f>BG6^2</f>
        <v>418609</v>
      </c>
      <c r="BH7" s="219">
        <f>BH6^2</f>
        <v>144</v>
      </c>
      <c r="BI7" s="219">
        <f>BI6^2</f>
        <v>324</v>
      </c>
      <c r="BJ7" s="218">
        <f t="shared" ref="BJ7:BO7" si="12">BJ6^2</f>
        <v>36</v>
      </c>
      <c r="BK7" s="219">
        <f t="shared" si="12"/>
        <v>289</v>
      </c>
      <c r="BL7" s="219">
        <f t="shared" si="12"/>
        <v>2401</v>
      </c>
      <c r="BM7" s="219">
        <f t="shared" si="12"/>
        <v>3249</v>
      </c>
      <c r="BN7" s="63">
        <f t="shared" si="12"/>
        <v>784</v>
      </c>
      <c r="BO7" s="64">
        <f t="shared" si="12"/>
        <v>281961</v>
      </c>
      <c r="BP7" s="219">
        <f t="shared" ref="BP7:CC7" si="13">BP6^2</f>
        <v>256</v>
      </c>
      <c r="BQ7" s="219">
        <f t="shared" si="13"/>
        <v>1</v>
      </c>
      <c r="BR7" s="219">
        <f t="shared" si="13"/>
        <v>1936</v>
      </c>
      <c r="BS7" s="219">
        <f t="shared" si="13"/>
        <v>3600</v>
      </c>
      <c r="BT7" s="63">
        <f t="shared" si="13"/>
        <v>249001</v>
      </c>
      <c r="BU7" s="64">
        <f t="shared" si="13"/>
        <v>20164</v>
      </c>
      <c r="BV7" s="218">
        <f t="shared" si="13"/>
        <v>1369</v>
      </c>
      <c r="BW7" s="219">
        <f t="shared" si="13"/>
        <v>121</v>
      </c>
      <c r="BX7" s="63">
        <f t="shared" si="13"/>
        <v>277729</v>
      </c>
      <c r="BY7" s="63">
        <f t="shared" si="13"/>
        <v>17689</v>
      </c>
      <c r="BZ7" s="218">
        <f t="shared" si="13"/>
        <v>289</v>
      </c>
      <c r="CA7" s="219">
        <f t="shared" si="13"/>
        <v>1225</v>
      </c>
      <c r="CB7" s="63">
        <f t="shared" si="13"/>
        <v>2601</v>
      </c>
      <c r="CC7" s="64">
        <f t="shared" si="13"/>
        <v>244036</v>
      </c>
    </row>
    <row r="8" spans="1:81" x14ac:dyDescent="0.3">
      <c r="A8" t="s">
        <v>6</v>
      </c>
      <c r="B8" s="117"/>
      <c r="C8" s="118">
        <f>SQRT(SUM(B7:C7))</f>
        <v>13.928388277184119</v>
      </c>
      <c r="D8" s="63"/>
      <c r="E8" s="63">
        <f>SQRT(SUM(D7:E7))</f>
        <v>657.01217644728627</v>
      </c>
      <c r="F8" s="74"/>
      <c r="G8" s="74">
        <f>SQRT(SUM(F7:G7))</f>
        <v>15.132745950421556</v>
      </c>
      <c r="H8" s="63"/>
      <c r="I8" s="63">
        <f>SQRT(SUM(H7:I7))</f>
        <v>639.94140356754542</v>
      </c>
      <c r="J8" s="73"/>
      <c r="K8" s="74">
        <f>SQRT(SUM(J7:K7))</f>
        <v>10.295630140987001</v>
      </c>
      <c r="L8" s="74"/>
      <c r="M8" s="74">
        <f>SQRT(SUM(L7:M7))</f>
        <v>10</v>
      </c>
      <c r="N8" s="63"/>
      <c r="O8" s="64">
        <f>SQRT(SUM(N7:O7))</f>
        <v>643.99145957069959</v>
      </c>
      <c r="P8" s="73"/>
      <c r="Q8" s="74">
        <f>SQRT(SUM(P7:Q7))</f>
        <v>90.338253248554679</v>
      </c>
      <c r="R8" s="73"/>
      <c r="S8" s="74">
        <f>SQRT(SUM(R7:S7))</f>
        <v>20.024984394500787</v>
      </c>
      <c r="T8" s="179"/>
      <c r="U8" s="179">
        <f>SQRT(SUM(T7:U7))</f>
        <v>15.132745950421556</v>
      </c>
      <c r="V8" s="63"/>
      <c r="W8" s="64">
        <f>SQRT(SUM(V7:W7))</f>
        <v>629.84839445695184</v>
      </c>
      <c r="X8" s="179"/>
      <c r="Y8" s="179">
        <f>SQRT(SUM(X7:Y7))</f>
        <v>61.773780845922005</v>
      </c>
      <c r="Z8" s="63"/>
      <c r="AA8" s="64">
        <f>SQRT(SUM(Z7:AA7))</f>
        <v>680.94346314506902</v>
      </c>
      <c r="AB8" s="179"/>
      <c r="AC8" s="179">
        <f>SQRT(SUM(AB7:AC7))</f>
        <v>51.039200620699383</v>
      </c>
      <c r="AD8" s="63"/>
      <c r="AE8" s="63">
        <f>SQRT(SUM(AD7:AE7))</f>
        <v>655.58676008595535</v>
      </c>
      <c r="AF8" s="73"/>
      <c r="AG8" s="74">
        <f>SQRT(SUM(AF7:AG7))</f>
        <v>57.428216061444921</v>
      </c>
      <c r="AH8" s="74"/>
      <c r="AI8" s="74">
        <f>SQRT(SUM(AH7:AI7))</f>
        <v>9.4339811320566032</v>
      </c>
      <c r="AK8" s="63">
        <f>SQRT(SUM(AJ7:AK7))</f>
        <v>630.20631542376657</v>
      </c>
      <c r="AL8" s="73"/>
      <c r="AM8" s="74">
        <f>SQRT(SUM(AL7:AM7))</f>
        <v>57.723478758647246</v>
      </c>
      <c r="AN8" s="74"/>
      <c r="AO8" s="138">
        <f>SQRT(SUM(AN7:AO7))</f>
        <v>9.8994949366116654</v>
      </c>
      <c r="AP8" s="63"/>
      <c r="AQ8" s="64">
        <f>SQRT(SUM(AP7:AQ7))</f>
        <v>608.93759943035218</v>
      </c>
      <c r="AR8" s="196"/>
      <c r="AS8" s="197">
        <f>SQRT(SUM(AR7:AS7))</f>
        <v>10.440306508910551</v>
      </c>
      <c r="AT8" s="63"/>
      <c r="AU8" s="64">
        <f>SQRT(SUM(AT7:AU7))</f>
        <v>569.77978202108932</v>
      </c>
      <c r="AV8" s="196"/>
      <c r="AW8" s="197">
        <f>SQRT(SUM(AV7:AW7))</f>
        <v>10.198039027185569</v>
      </c>
      <c r="AX8" s="218"/>
      <c r="AY8" s="219">
        <f>SQRT(SUM(AX7:AY7))</f>
        <v>47.010637094172637</v>
      </c>
      <c r="AZ8" s="63"/>
      <c r="BA8" s="63">
        <f>SQRT(SUM(AZ7:BA7))</f>
        <v>580.18100623857038</v>
      </c>
      <c r="BB8" s="219"/>
      <c r="BC8" s="236">
        <f>SQRT(SUM(BB7:BC7))</f>
        <v>51.107729356722551</v>
      </c>
      <c r="BD8" s="218"/>
      <c r="BE8" s="219">
        <f>SQRT(SUM(BD7:BE7))</f>
        <v>22.022715545545239</v>
      </c>
      <c r="BF8" s="63"/>
      <c r="BG8" s="63">
        <f>SQRT(SUM(BF7:BG7))</f>
        <v>647.94598540310437</v>
      </c>
      <c r="BH8" s="219"/>
      <c r="BI8" s="219">
        <f>SQRT(SUM(BH7:BI7))</f>
        <v>21.633307652783937</v>
      </c>
      <c r="BJ8" s="218"/>
      <c r="BK8" s="219">
        <f>SQRT(SUM(BJ7:BK7))</f>
        <v>18.027756377319946</v>
      </c>
      <c r="BL8" s="219"/>
      <c r="BM8" s="219">
        <f>SQRT(SUM(BL7:BM7))</f>
        <v>75.166481891864535</v>
      </c>
      <c r="BN8" s="63"/>
      <c r="BO8" s="64">
        <f>SQRT(SUM(BN7:BO7))</f>
        <v>531.73771730055034</v>
      </c>
      <c r="BP8" s="219"/>
      <c r="BQ8" s="219">
        <f>SQRT(SUM(BP7:BQ7))</f>
        <v>16.031219541881399</v>
      </c>
      <c r="BR8" s="219"/>
      <c r="BS8" s="219">
        <f>SQRT(SUM(BR7:BS7))</f>
        <v>74.4043009509531</v>
      </c>
      <c r="BT8" s="63"/>
      <c r="BU8" s="64">
        <f>SQRT(SUM(BT7:BU7))</f>
        <v>518.81114097521072</v>
      </c>
      <c r="BV8" s="218"/>
      <c r="BW8" s="219">
        <f>SQRT(SUM(BV7:BW7))</f>
        <v>38.600518131237564</v>
      </c>
      <c r="BX8" s="63"/>
      <c r="BY8" s="63">
        <f>SQRT(SUM(BX7:BY7))</f>
        <v>543.52368853620351</v>
      </c>
      <c r="BZ8" s="218"/>
      <c r="CA8" s="219">
        <f>SQRT(SUM(BZ7:CA7))</f>
        <v>38.910152916687437</v>
      </c>
      <c r="CB8" s="63"/>
      <c r="CC8" s="64">
        <f>SQRT(SUM(CB7:CC7))</f>
        <v>496.6256135158556</v>
      </c>
    </row>
    <row r="9" spans="1:81" x14ac:dyDescent="0.3">
      <c r="A9" t="s">
        <v>7</v>
      </c>
      <c r="B9" s="117"/>
      <c r="C9" s="118">
        <f>MOD(ATAN2(C6,B6)*180/PI()+270,360)</f>
        <v>248.96248897457818</v>
      </c>
      <c r="D9" s="63"/>
      <c r="E9" s="63">
        <f>MOD(ATAN2(E6,D6)*180/PI()+270,360)</f>
        <v>82.918250231141428</v>
      </c>
      <c r="F9" s="74"/>
      <c r="G9" s="74">
        <f>MOD(ATAN2(G6,F6)*180/PI()+270,360)</f>
        <v>352.40535663140855</v>
      </c>
      <c r="H9" s="63"/>
      <c r="I9" s="63">
        <f>MOD(ATAN2(I6,H6)*180/PI()+270,360)</f>
        <v>188.446650401429</v>
      </c>
      <c r="J9" s="73"/>
      <c r="K9" s="74">
        <f>MOD(ATAN2(K6,J6)*180/PI()+270,360)</f>
        <v>330.94539590092285</v>
      </c>
      <c r="L9" s="74"/>
      <c r="M9" s="74">
        <f>MOD(ATAN2(M6,L6)*180/PI()+270,360)</f>
        <v>233.13010235415598</v>
      </c>
      <c r="N9" s="63"/>
      <c r="O9" s="64">
        <f>MOD(ATAN2(O6,N6)*180/PI()+270,360)</f>
        <v>95.524683504128376</v>
      </c>
      <c r="P9" s="73"/>
      <c r="Q9" s="74">
        <f>MOD(ATAN2(Q6,P6)*180/PI()+270,360)</f>
        <v>26.281411021320196</v>
      </c>
      <c r="R9" s="73"/>
      <c r="S9" s="74">
        <f>MOD(ATAN2(S6,R6)*180/PI()+270,360)</f>
        <v>357.13759477388828</v>
      </c>
      <c r="T9" s="179"/>
      <c r="U9" s="179">
        <f>MOD(ATAN2(U6,T6)*180/PI()+270,360)</f>
        <v>82.405356631408551</v>
      </c>
      <c r="V9" s="63"/>
      <c r="W9" s="64">
        <f>MOD(ATAN2(W6,V6)*180/PI()+270,360)</f>
        <v>187.1137332101124</v>
      </c>
      <c r="X9" s="179"/>
      <c r="Y9" s="179">
        <f>MOD(ATAN2(Y6,X6)*180/PI()+270,360)</f>
        <v>299.05460409907715</v>
      </c>
      <c r="Z9" s="63"/>
      <c r="AA9" s="64">
        <f>MOD(ATAN2(AA6,Z6)*180/PI()+270,360)</f>
        <v>189.29632813981661</v>
      </c>
      <c r="AB9" s="179"/>
      <c r="AC9" s="179">
        <f>MOD(ATAN2(AC6,AB6)*180/PI()+270,360)</f>
        <v>177.75425743410494</v>
      </c>
      <c r="AD9" s="63"/>
      <c r="AE9" s="63">
        <f>MOD(ATAN2(AE6,AD6)*180/PI()+270,360)</f>
        <v>75.60341046868632</v>
      </c>
      <c r="AF9" s="73"/>
      <c r="AG9" s="74">
        <f>MOD(ATAN2(AG6,AF6)*180/PI()+270,360)</f>
        <v>234.9262455066517</v>
      </c>
      <c r="AH9" s="74"/>
      <c r="AI9" s="74">
        <f>MOD(ATAN2(AI6,AH6)*180/PI()+270,360)</f>
        <v>212.00538320808352</v>
      </c>
      <c r="AK9" s="63">
        <f>MOD(ATAN2(AK6,AJ6)*180/PI()+270,360)</f>
        <v>76.978125465366759</v>
      </c>
      <c r="AL9" s="73"/>
      <c r="AM9" s="74">
        <f>MOD(ATAN2(AM6,AL6)*180/PI()+270,360)</f>
        <v>345.96375653207355</v>
      </c>
      <c r="AN9" s="74"/>
      <c r="AO9" s="138">
        <f>MOD(ATAN2(AO6,AN6)*180/PI()+270,360)</f>
        <v>315</v>
      </c>
      <c r="AP9" s="63"/>
      <c r="AQ9" s="64">
        <f>MOD(ATAN2(AQ6,AP6)*180/PI()+270,360)</f>
        <v>189.2612309349893</v>
      </c>
      <c r="AR9" s="196"/>
      <c r="AS9" s="197">
        <f>MOD(ATAN2(AS6,AR6)*180/PI()+270,360)</f>
        <v>196.69924423399362</v>
      </c>
      <c r="AT9" s="63"/>
      <c r="AU9" s="64">
        <f>MOD(ATAN2(AU6,AT6)*180/PI()+270,360)</f>
        <v>94.529816749742764</v>
      </c>
      <c r="AV9" s="196"/>
      <c r="AW9" s="197">
        <f>MOD(ATAN2(AW6,AV6)*180/PI()+270,360)</f>
        <v>101.3099324740202</v>
      </c>
      <c r="AX9" s="218"/>
      <c r="AY9" s="219">
        <f>MOD(ATAN2(AY6,AX6)*180/PI()+270,360)</f>
        <v>51.911227119024716</v>
      </c>
      <c r="AZ9" s="63"/>
      <c r="BA9" s="63">
        <f>MOD(ATAN2(BA6,AZ6)*180/PI()+270,360)</f>
        <v>189.02396690537887</v>
      </c>
      <c r="BB9" s="219"/>
      <c r="BC9" s="236">
        <f>MOD(ATAN2(BC6,BB6)*180/PI()+270,360)</f>
        <v>149.42077312751098</v>
      </c>
      <c r="BD9" s="218"/>
      <c r="BE9" s="219">
        <f>MOD(ATAN2(BE6,BD6)*180/PI()+270,360)</f>
        <v>219.47245984834382</v>
      </c>
      <c r="BF9" s="63"/>
      <c r="BG9" s="63">
        <f>MOD(ATAN2(BG6,BF6)*180/PI()+270,360)</f>
        <v>93.09644448815115</v>
      </c>
      <c r="BH9" s="219"/>
      <c r="BI9" s="219">
        <f>MOD(ATAN2(BI6,BH6)*180/PI()+270,360)</f>
        <v>123.69006752597977</v>
      </c>
      <c r="BJ9" s="218"/>
      <c r="BK9" s="219">
        <f>MOD(ATAN2(BK6,BJ6)*180/PI()+270,360)</f>
        <v>250.55996517182382</v>
      </c>
      <c r="BL9" s="219"/>
      <c r="BM9" s="219">
        <f>MOD(ATAN2(BM6,BL6)*180/PI()+270,360)</f>
        <v>130.6839724801344</v>
      </c>
      <c r="BN9" s="63"/>
      <c r="BO9" s="64">
        <f>MOD(ATAN2(BO6,BN6)*180/PI()+270,360)</f>
        <v>93.018450821305635</v>
      </c>
      <c r="BP9" s="219"/>
      <c r="BQ9" s="219">
        <f>MOD(ATAN2(BQ6,BP6)*180/PI()+270,360)</f>
        <v>356.42366562500263</v>
      </c>
      <c r="BR9" s="219"/>
      <c r="BS9" s="219">
        <f>MOD(ATAN2(BS6,BR6)*180/PI()+270,360)</f>
        <v>233.7461622625552</v>
      </c>
      <c r="BT9" s="63"/>
      <c r="BU9" s="64">
        <f>MOD(ATAN2(BU6,BT6)*180/PI()+270,360)</f>
        <v>195.88471731146802</v>
      </c>
      <c r="BV9" s="218"/>
      <c r="BW9" s="219">
        <f>MOD(ATAN2(BW6,BV6)*180/PI()+270,360)</f>
        <v>343.44292862436339</v>
      </c>
      <c r="BX9" s="63"/>
      <c r="BY9" s="63">
        <f>MOD(ATAN2(BY6,BX6)*180/PI()+270,360)</f>
        <v>194.16407855146122</v>
      </c>
      <c r="BZ9" s="218"/>
      <c r="CA9" s="219">
        <f>MOD(ATAN2(CA6,BZ6)*180/PI()+270,360)</f>
        <v>244.09349200048561</v>
      </c>
      <c r="CB9" s="63"/>
      <c r="CC9" s="64">
        <f>MOD(ATAN2(CC6,CB6)*180/PI()+270,360)</f>
        <v>95.894269621534875</v>
      </c>
    </row>
    <row r="10" spans="1:81" s="17" customFormat="1" ht="117" customHeight="1" x14ac:dyDescent="0.3">
      <c r="A10" s="16" t="s">
        <v>40</v>
      </c>
      <c r="B10" s="383" t="s">
        <v>213</v>
      </c>
      <c r="C10" s="384"/>
      <c r="D10" s="385"/>
      <c r="E10" s="385"/>
      <c r="F10" s="408" t="s">
        <v>216</v>
      </c>
      <c r="G10" s="408"/>
      <c r="H10" s="382"/>
      <c r="I10" s="382"/>
      <c r="J10" s="408" t="s">
        <v>216</v>
      </c>
      <c r="K10" s="408"/>
      <c r="L10" s="408" t="s">
        <v>217</v>
      </c>
      <c r="M10" s="408"/>
      <c r="N10" s="411"/>
      <c r="O10" s="412"/>
      <c r="P10" s="383" t="s">
        <v>233</v>
      </c>
      <c r="Q10" s="384"/>
      <c r="R10" s="404" t="s">
        <v>235</v>
      </c>
      <c r="S10" s="405"/>
      <c r="T10" s="414" t="s">
        <v>237</v>
      </c>
      <c r="U10" s="414"/>
      <c r="V10" s="382"/>
      <c r="W10" s="409"/>
      <c r="X10" s="414" t="s">
        <v>260</v>
      </c>
      <c r="Y10" s="414"/>
      <c r="Z10" s="382"/>
      <c r="AA10" s="409"/>
      <c r="AB10" s="414" t="s">
        <v>260</v>
      </c>
      <c r="AC10" s="414"/>
      <c r="AD10" s="382"/>
      <c r="AE10" s="382"/>
      <c r="AF10" s="383" t="s">
        <v>239</v>
      </c>
      <c r="AG10" s="384"/>
      <c r="AH10" s="384" t="s">
        <v>239</v>
      </c>
      <c r="AI10" s="384"/>
      <c r="AJ10" s="384" t="s">
        <v>239</v>
      </c>
      <c r="AK10" s="384"/>
      <c r="AL10" s="383" t="s">
        <v>239</v>
      </c>
      <c r="AM10" s="384"/>
      <c r="AN10" s="384" t="s">
        <v>239</v>
      </c>
      <c r="AO10" s="413"/>
      <c r="AP10" s="384" t="s">
        <v>239</v>
      </c>
      <c r="AQ10" s="413"/>
      <c r="AR10" s="417" t="s">
        <v>237</v>
      </c>
      <c r="AS10" s="417"/>
      <c r="AT10" s="384" t="s">
        <v>239</v>
      </c>
      <c r="AU10" s="413"/>
      <c r="AV10" s="417" t="s">
        <v>237</v>
      </c>
      <c r="AW10" s="417"/>
      <c r="AX10" s="383" t="s">
        <v>239</v>
      </c>
      <c r="AY10" s="384"/>
      <c r="AZ10" s="384" t="s">
        <v>239</v>
      </c>
      <c r="BA10" s="384"/>
      <c r="BB10" s="384" t="s">
        <v>239</v>
      </c>
      <c r="BC10" s="413"/>
      <c r="BD10" s="383" t="s">
        <v>259</v>
      </c>
      <c r="BE10" s="384"/>
      <c r="BF10" s="384" t="s">
        <v>239</v>
      </c>
      <c r="BG10" s="384"/>
      <c r="BH10" s="383" t="s">
        <v>259</v>
      </c>
      <c r="BI10" s="384"/>
      <c r="BJ10" s="383" t="s">
        <v>259</v>
      </c>
      <c r="BK10" s="384"/>
      <c r="BL10" s="384" t="s">
        <v>259</v>
      </c>
      <c r="BM10" s="384"/>
      <c r="BN10" s="384" t="s">
        <v>239</v>
      </c>
      <c r="BO10" s="413"/>
      <c r="BP10" s="384" t="s">
        <v>259</v>
      </c>
      <c r="BQ10" s="384"/>
      <c r="BR10" s="384" t="s">
        <v>259</v>
      </c>
      <c r="BS10" s="384"/>
      <c r="BT10" s="384" t="s">
        <v>239</v>
      </c>
      <c r="BU10" s="413"/>
      <c r="BV10" s="384" t="s">
        <v>239</v>
      </c>
      <c r="BW10" s="384"/>
      <c r="BX10" s="384" t="s">
        <v>239</v>
      </c>
      <c r="BY10" s="384"/>
      <c r="BZ10" s="383" t="s">
        <v>239</v>
      </c>
      <c r="CA10" s="384"/>
      <c r="CB10" s="384" t="s">
        <v>239</v>
      </c>
      <c r="CC10" s="413"/>
    </row>
    <row r="11" spans="1:81" s="19" customFormat="1" x14ac:dyDescent="0.3">
      <c r="A11" s="20" t="s">
        <v>37</v>
      </c>
      <c r="B11" s="119"/>
      <c r="C11" s="120"/>
      <c r="D11" s="67"/>
      <c r="E11" s="67"/>
      <c r="F11" s="120"/>
      <c r="G11" s="120"/>
      <c r="H11" s="67"/>
      <c r="I11" s="67"/>
      <c r="J11" s="119"/>
      <c r="K11" s="120"/>
      <c r="L11" s="120"/>
      <c r="M11" s="120"/>
      <c r="N11" s="120"/>
      <c r="O11" s="152"/>
      <c r="P11" s="119"/>
      <c r="Q11" s="120"/>
      <c r="R11" s="86"/>
      <c r="S11" s="87"/>
      <c r="T11" s="179"/>
      <c r="U11" s="179"/>
      <c r="V11" s="67"/>
      <c r="W11" s="68"/>
      <c r="X11" s="179"/>
      <c r="Y11" s="179"/>
      <c r="Z11" s="67"/>
      <c r="AA11" s="68"/>
      <c r="AB11" s="179"/>
      <c r="AC11" s="179"/>
      <c r="AD11" s="67"/>
      <c r="AE11" s="67"/>
      <c r="AF11" s="119"/>
      <c r="AG11" s="120"/>
      <c r="AH11" s="120"/>
      <c r="AI11" s="120"/>
      <c r="AJ11" s="67"/>
      <c r="AK11" s="67"/>
      <c r="AL11" s="119"/>
      <c r="AM11" s="120"/>
      <c r="AN11" s="120"/>
      <c r="AO11" s="152"/>
      <c r="AP11" s="67"/>
      <c r="AQ11" s="68"/>
      <c r="AR11" s="198"/>
      <c r="AS11" s="199"/>
      <c r="AT11" s="67"/>
      <c r="AU11" s="68"/>
      <c r="AV11" s="198"/>
      <c r="AW11" s="199"/>
      <c r="AX11" s="119"/>
      <c r="AY11" s="120"/>
      <c r="AZ11" s="67"/>
      <c r="BA11" s="67"/>
      <c r="BB11" s="120"/>
      <c r="BC11" s="152"/>
      <c r="BD11" s="119"/>
      <c r="BE11" s="120"/>
      <c r="BF11" s="67"/>
      <c r="BG11" s="67"/>
      <c r="BH11" s="120"/>
      <c r="BI11" s="120"/>
      <c r="BJ11" s="119"/>
      <c r="BK11" s="120"/>
      <c r="BL11" s="120"/>
      <c r="BM11" s="120"/>
      <c r="BN11" s="67"/>
      <c r="BO11" s="68"/>
      <c r="BP11" s="120"/>
      <c r="BQ11" s="120"/>
      <c r="BR11" s="120"/>
      <c r="BS11" s="120"/>
      <c r="BT11" s="67"/>
      <c r="BU11" s="68"/>
      <c r="BV11" s="119"/>
      <c r="BW11" s="120"/>
      <c r="BX11" s="67"/>
      <c r="BY11" s="67"/>
      <c r="BZ11" s="119"/>
      <c r="CA11" s="120"/>
      <c r="CB11" s="67"/>
      <c r="CC11" s="68"/>
    </row>
    <row r="12" spans="1:81" s="1" customFormat="1" x14ac:dyDescent="0.3">
      <c r="B12" s="121" t="s">
        <v>62</v>
      </c>
      <c r="C12" s="122" t="s">
        <v>63</v>
      </c>
      <c r="D12" s="69"/>
      <c r="E12" s="69"/>
      <c r="F12" s="122" t="s">
        <v>62</v>
      </c>
      <c r="G12" s="122" t="s">
        <v>63</v>
      </c>
      <c r="H12" s="69"/>
      <c r="I12" s="69"/>
      <c r="J12" s="121" t="s">
        <v>62</v>
      </c>
      <c r="K12" s="122" t="s">
        <v>63</v>
      </c>
      <c r="L12" s="122" t="s">
        <v>62</v>
      </c>
      <c r="M12" s="122" t="s">
        <v>63</v>
      </c>
      <c r="N12" s="122" t="s">
        <v>62</v>
      </c>
      <c r="O12" s="153" t="s">
        <v>63</v>
      </c>
      <c r="P12" s="121" t="s">
        <v>62</v>
      </c>
      <c r="Q12" s="122" t="s">
        <v>63</v>
      </c>
      <c r="R12" s="88"/>
      <c r="S12" s="89"/>
      <c r="T12" s="181"/>
      <c r="U12" s="181"/>
      <c r="V12" s="69"/>
      <c r="W12" s="70"/>
      <c r="X12" s="181"/>
      <c r="Y12" s="181"/>
      <c r="Z12" s="69"/>
      <c r="AA12" s="70"/>
      <c r="AB12" s="181"/>
      <c r="AC12" s="181"/>
      <c r="AD12" s="69"/>
      <c r="AE12" s="69"/>
      <c r="AF12" s="121" t="s">
        <v>62</v>
      </c>
      <c r="AG12" s="122" t="s">
        <v>63</v>
      </c>
      <c r="AH12" s="122" t="s">
        <v>62</v>
      </c>
      <c r="AI12" s="122" t="s">
        <v>63</v>
      </c>
      <c r="AJ12" s="69"/>
      <c r="AK12" s="69"/>
      <c r="AL12" s="121" t="s">
        <v>62</v>
      </c>
      <c r="AM12" s="122" t="s">
        <v>63</v>
      </c>
      <c r="AN12" s="122" t="s">
        <v>62</v>
      </c>
      <c r="AO12" s="153" t="s">
        <v>63</v>
      </c>
      <c r="AP12" s="69"/>
      <c r="AQ12" s="70"/>
      <c r="AR12" s="200" t="s">
        <v>62</v>
      </c>
      <c r="AS12" s="201" t="s">
        <v>63</v>
      </c>
      <c r="AT12" s="69"/>
      <c r="AU12" s="70"/>
      <c r="AV12" s="200" t="s">
        <v>62</v>
      </c>
      <c r="AW12" s="201" t="s">
        <v>63</v>
      </c>
      <c r="AX12" s="220" t="s">
        <v>62</v>
      </c>
      <c r="AY12" s="221" t="s">
        <v>63</v>
      </c>
      <c r="AZ12" s="69"/>
      <c r="BA12" s="69"/>
      <c r="BB12" s="221" t="s">
        <v>62</v>
      </c>
      <c r="BC12" s="237" t="s">
        <v>63</v>
      </c>
      <c r="BD12" s="220" t="s">
        <v>62</v>
      </c>
      <c r="BE12" s="221" t="s">
        <v>63</v>
      </c>
      <c r="BF12" s="69"/>
      <c r="BG12" s="69"/>
      <c r="BH12" s="221" t="s">
        <v>62</v>
      </c>
      <c r="BI12" s="221" t="s">
        <v>63</v>
      </c>
      <c r="BJ12" s="220" t="s">
        <v>62</v>
      </c>
      <c r="BK12" s="221" t="s">
        <v>63</v>
      </c>
      <c r="BL12" s="221" t="s">
        <v>62</v>
      </c>
      <c r="BM12" s="221" t="s">
        <v>63</v>
      </c>
      <c r="BN12" s="69"/>
      <c r="BO12" s="70"/>
      <c r="BP12" s="221" t="s">
        <v>62</v>
      </c>
      <c r="BQ12" s="221" t="s">
        <v>63</v>
      </c>
      <c r="BR12" s="221" t="s">
        <v>62</v>
      </c>
      <c r="BS12" s="221" t="s">
        <v>63</v>
      </c>
      <c r="BT12" s="69"/>
      <c r="BU12" s="70"/>
      <c r="BV12" s="220" t="s">
        <v>62</v>
      </c>
      <c r="BW12" s="221" t="s">
        <v>63</v>
      </c>
      <c r="BX12" s="69"/>
      <c r="BY12" s="69"/>
      <c r="BZ12" s="220" t="s">
        <v>62</v>
      </c>
      <c r="CA12" s="221" t="s">
        <v>63</v>
      </c>
      <c r="CB12" s="69"/>
      <c r="CC12" s="70"/>
    </row>
    <row r="13" spans="1:81" x14ac:dyDescent="0.3">
      <c r="A13" t="s">
        <v>18</v>
      </c>
      <c r="B13" s="117"/>
      <c r="C13" s="118"/>
      <c r="D13" s="63"/>
      <c r="E13" s="63"/>
      <c r="F13" s="118"/>
      <c r="G13" s="118"/>
      <c r="H13" s="63"/>
      <c r="I13" s="63"/>
      <c r="J13" s="117"/>
      <c r="K13" s="118"/>
      <c r="L13" s="118"/>
      <c r="M13" s="118"/>
      <c r="N13" s="118"/>
      <c r="O13" s="128"/>
      <c r="P13" s="117"/>
      <c r="Q13" s="118"/>
      <c r="R13" s="73"/>
      <c r="S13" s="74"/>
      <c r="T13" s="179"/>
      <c r="U13" s="179"/>
      <c r="V13" s="63"/>
      <c r="W13" s="64"/>
      <c r="X13" s="179"/>
      <c r="Y13" s="179"/>
      <c r="Z13" s="63"/>
      <c r="AA13" s="64"/>
      <c r="AB13" s="179"/>
      <c r="AC13" s="179"/>
      <c r="AD13" s="63"/>
      <c r="AE13" s="63"/>
      <c r="AF13" s="117"/>
      <c r="AL13" s="117"/>
      <c r="AM13" s="118"/>
      <c r="AN13" s="118"/>
      <c r="AO13" s="128"/>
      <c r="AP13" s="63"/>
      <c r="AQ13" s="64"/>
      <c r="AR13" s="194"/>
      <c r="AS13" s="195"/>
      <c r="AT13" s="63"/>
      <c r="AU13" s="64"/>
      <c r="AV13" s="194"/>
      <c r="AW13" s="195"/>
      <c r="AX13" s="216"/>
      <c r="AY13" s="217"/>
      <c r="AZ13" s="63"/>
      <c r="BA13" s="63"/>
      <c r="BB13" s="217"/>
      <c r="BC13" s="235"/>
      <c r="BD13" s="216"/>
      <c r="BE13" s="217"/>
      <c r="BF13" s="63"/>
      <c r="BG13" s="63"/>
      <c r="BH13" s="217"/>
      <c r="BI13" s="217"/>
      <c r="BJ13" s="216"/>
      <c r="BK13" s="217"/>
      <c r="BL13" s="217"/>
      <c r="BM13" s="217"/>
      <c r="BN13" s="63"/>
      <c r="BO13" s="64"/>
      <c r="BP13" s="217"/>
      <c r="BQ13" s="217"/>
      <c r="BR13" s="217"/>
      <c r="BS13" s="217"/>
      <c r="BT13" s="63"/>
      <c r="BU13" s="64"/>
      <c r="BV13" s="216"/>
      <c r="BW13" s="217"/>
      <c r="BX13" s="63"/>
      <c r="BY13" s="63"/>
      <c r="BZ13" s="216"/>
      <c r="CA13" s="217"/>
      <c r="CB13" s="63"/>
      <c r="CC13" s="64"/>
    </row>
    <row r="14" spans="1:81" x14ac:dyDescent="0.3">
      <c r="A14" t="s">
        <v>17</v>
      </c>
      <c r="B14" s="117"/>
      <c r="C14" s="118"/>
      <c r="D14" s="63"/>
      <c r="E14" s="63"/>
      <c r="F14" s="118"/>
      <c r="G14" s="118"/>
      <c r="H14" s="63"/>
      <c r="I14" s="63"/>
      <c r="J14" s="117"/>
      <c r="K14" s="118"/>
      <c r="L14" s="118"/>
      <c r="M14" s="118"/>
      <c r="N14" s="118"/>
      <c r="O14" s="128"/>
      <c r="P14" s="117"/>
      <c r="Q14" s="118"/>
      <c r="R14" s="73"/>
      <c r="S14" s="74"/>
      <c r="T14" s="179"/>
      <c r="U14" s="179"/>
      <c r="V14" s="63"/>
      <c r="W14" s="64"/>
      <c r="X14" s="179"/>
      <c r="Y14" s="179"/>
      <c r="Z14" s="63"/>
      <c r="AA14" s="64"/>
      <c r="AB14" s="179"/>
      <c r="AC14" s="179"/>
      <c r="AD14" s="63"/>
      <c r="AE14" s="63"/>
      <c r="AF14" s="117"/>
      <c r="AL14" s="117"/>
      <c r="AM14" s="118"/>
      <c r="AN14" s="118"/>
      <c r="AO14" s="128"/>
      <c r="AP14" s="63"/>
      <c r="AQ14" s="64"/>
      <c r="AR14" s="194"/>
      <c r="AS14" s="195"/>
      <c r="AT14" s="63"/>
      <c r="AU14" s="64"/>
      <c r="AV14" s="194"/>
      <c r="AW14" s="195"/>
      <c r="AX14" s="216"/>
      <c r="AY14" s="217"/>
      <c r="AZ14" s="63"/>
      <c r="BA14" s="63"/>
      <c r="BB14" s="217"/>
      <c r="BC14" s="235"/>
      <c r="BD14" s="216"/>
      <c r="BE14" s="217"/>
      <c r="BF14" s="63"/>
      <c r="BG14" s="63"/>
      <c r="BH14" s="217"/>
      <c r="BI14" s="217"/>
      <c r="BJ14" s="216"/>
      <c r="BK14" s="217"/>
      <c r="BL14" s="217"/>
      <c r="BM14" s="217"/>
      <c r="BN14" s="63"/>
      <c r="BO14" s="64"/>
      <c r="BP14" s="217"/>
      <c r="BQ14" s="217"/>
      <c r="BR14" s="217"/>
      <c r="BS14" s="217"/>
      <c r="BT14" s="63"/>
      <c r="BU14" s="64"/>
      <c r="BV14" s="216"/>
      <c r="BW14" s="217"/>
      <c r="BX14" s="63"/>
      <c r="BY14" s="63"/>
      <c r="BZ14" s="216"/>
      <c r="CA14" s="217"/>
      <c r="CB14" s="63"/>
      <c r="CC14" s="64"/>
    </row>
    <row r="15" spans="1:81" x14ac:dyDescent="0.3">
      <c r="A15" t="s">
        <v>14</v>
      </c>
      <c r="B15" s="117"/>
      <c r="C15" s="118"/>
      <c r="D15" s="63"/>
      <c r="E15" s="63"/>
      <c r="F15" s="118"/>
      <c r="G15" s="118"/>
      <c r="H15" s="63"/>
      <c r="I15" s="63"/>
      <c r="J15" s="117"/>
      <c r="K15" s="118"/>
      <c r="L15" s="118"/>
      <c r="M15" s="118"/>
      <c r="N15" s="118"/>
      <c r="O15" s="128"/>
      <c r="P15" s="117"/>
      <c r="Q15" s="118"/>
      <c r="R15" s="73"/>
      <c r="S15" s="74"/>
      <c r="T15" s="179"/>
      <c r="U15" s="179"/>
      <c r="V15" s="63"/>
      <c r="W15" s="64"/>
      <c r="X15" s="179"/>
      <c r="Y15" s="179"/>
      <c r="Z15" s="63"/>
      <c r="AA15" s="64"/>
      <c r="AB15" s="179"/>
      <c r="AC15" s="179"/>
      <c r="AD15" s="63"/>
      <c r="AE15" s="63"/>
      <c r="AF15" s="117"/>
      <c r="AL15" s="117"/>
      <c r="AM15" s="118"/>
      <c r="AN15" s="118"/>
      <c r="AO15" s="128"/>
      <c r="AP15" s="63"/>
      <c r="AQ15" s="64"/>
      <c r="AR15" s="194"/>
      <c r="AS15" s="195"/>
      <c r="AT15" s="63"/>
      <c r="AU15" s="64"/>
      <c r="AV15" s="194"/>
      <c r="AW15" s="195"/>
      <c r="AX15" s="216"/>
      <c r="AY15" s="217"/>
      <c r="AZ15" s="63"/>
      <c r="BA15" s="63"/>
      <c r="BB15" s="217"/>
      <c r="BC15" s="235"/>
      <c r="BD15" s="216"/>
      <c r="BE15" s="217"/>
      <c r="BF15" s="63"/>
      <c r="BG15" s="63"/>
      <c r="BH15" s="217"/>
      <c r="BI15" s="217"/>
      <c r="BJ15" s="216"/>
      <c r="BK15" s="217"/>
      <c r="BL15" s="217"/>
      <c r="BM15" s="217"/>
      <c r="BN15" s="63"/>
      <c r="BO15" s="64"/>
      <c r="BP15" s="217"/>
      <c r="BQ15" s="217"/>
      <c r="BR15" s="217"/>
      <c r="BS15" s="217"/>
      <c r="BT15" s="63"/>
      <c r="BU15" s="64"/>
      <c r="BV15" s="216"/>
      <c r="BW15" s="217"/>
      <c r="BX15" s="63"/>
      <c r="BY15" s="63"/>
      <c r="BZ15" s="216"/>
      <c r="CA15" s="217"/>
      <c r="CB15" s="63"/>
      <c r="CC15" s="64"/>
    </row>
    <row r="16" spans="1:81" x14ac:dyDescent="0.3">
      <c r="A16" t="s">
        <v>13</v>
      </c>
      <c r="B16" s="117"/>
      <c r="C16" s="118">
        <v>1.7</v>
      </c>
      <c r="D16" s="63"/>
      <c r="E16" s="111">
        <f>5*15.0412*COS((-2-23/60+49/3600)*PI()/180)</f>
        <v>75.141685306760181</v>
      </c>
      <c r="F16" s="123"/>
      <c r="G16" s="118">
        <v>1.7</v>
      </c>
      <c r="H16" s="63"/>
      <c r="I16" s="111">
        <f>5*15.0412*COS((-2-23/60+49/3600)*PI()/180)</f>
        <v>75.141685306760181</v>
      </c>
      <c r="J16" s="154"/>
      <c r="K16" s="118">
        <v>1.2629999999999999</v>
      </c>
      <c r="L16" s="123"/>
      <c r="M16" s="118">
        <v>1.2629999999999999</v>
      </c>
      <c r="N16" s="123"/>
      <c r="O16" s="124">
        <f>5*15.0412*COS((5+56/60+52/3600)*PI()/180)</f>
        <v>74.8011476538843</v>
      </c>
      <c r="Q16">
        <v>9.5</v>
      </c>
      <c r="R16" s="186"/>
      <c r="S16" s="187">
        <v>2.23</v>
      </c>
      <c r="T16" s="182"/>
      <c r="U16" s="182">
        <v>2.23</v>
      </c>
      <c r="V16" s="63"/>
      <c r="W16" s="124">
        <f>5*15.0412*COS((-1-56/60-33/3600)*PI()/180)</f>
        <v>75.162782694540255</v>
      </c>
      <c r="X16" s="182"/>
      <c r="Y16" s="182">
        <v>6.6710000000000003</v>
      </c>
      <c r="Z16" s="63"/>
      <c r="AA16" s="124">
        <f>5*15.0412*COS((-16-43/60-9/3600)*PI()/180)</f>
        <v>72.026765095466743</v>
      </c>
      <c r="AB16" s="182"/>
      <c r="AC16" s="182">
        <v>2.2349999999999999</v>
      </c>
      <c r="AD16" s="63"/>
      <c r="AE16" s="111">
        <f>5*15.0412*COS((-16-43/60-9/3600)*PI()/180)</f>
        <v>72.026765095466743</v>
      </c>
      <c r="AF16" s="154"/>
      <c r="AG16" s="118">
        <v>5.9169999999999998</v>
      </c>
      <c r="AH16" s="123"/>
      <c r="AI16" s="118">
        <v>1.0269999999999999</v>
      </c>
      <c r="AK16" s="111">
        <f>5*15.0412*COS((17+38/60+51/3600)*PI()/180)</f>
        <v>71.666780530880629</v>
      </c>
      <c r="AL16" s="154"/>
      <c r="AM16" s="118">
        <v>5.9169999999999998</v>
      </c>
      <c r="AN16" s="123"/>
      <c r="AO16" s="128">
        <v>1.0269999999999999</v>
      </c>
      <c r="AP16" s="63"/>
      <c r="AQ16" s="124">
        <f>5*15.0412*COS((22+30/60+23/3600)*PI()/180)</f>
        <v>69.478074504350474</v>
      </c>
      <c r="AR16" s="202"/>
      <c r="AS16" s="195">
        <v>1.599</v>
      </c>
      <c r="AT16" s="63"/>
      <c r="AU16" s="124">
        <f>5*15.0412*COS((22+30/60+23/3600)*PI()/180)</f>
        <v>69.478074504350474</v>
      </c>
      <c r="AV16" s="202"/>
      <c r="AW16" s="195">
        <v>1.599</v>
      </c>
      <c r="AX16" s="222"/>
      <c r="AY16" s="217">
        <v>5.6040000000000001</v>
      </c>
      <c r="AZ16" s="63"/>
      <c r="BA16" s="111">
        <f>5*15.0412*COS((21+59/60+0/3600)*PI()/180)</f>
        <v>69.737981111916611</v>
      </c>
      <c r="BB16" s="233"/>
      <c r="BC16" s="235">
        <v>5.6040000000000001</v>
      </c>
      <c r="BD16" s="222"/>
      <c r="BE16" s="217">
        <v>2.8849999999999998</v>
      </c>
      <c r="BF16" s="63"/>
      <c r="BG16" s="111">
        <f>5*15.0412*COS((6+25/60+8/3600)*PI()/180)</f>
        <v>74.734542372061654</v>
      </c>
      <c r="BH16" s="233"/>
      <c r="BI16" s="217">
        <v>2.8849999999999998</v>
      </c>
      <c r="BJ16" s="222"/>
      <c r="BK16" s="217">
        <v>1.8720000000000001</v>
      </c>
      <c r="BL16" s="233"/>
      <c r="BM16" s="217">
        <v>8.6</v>
      </c>
      <c r="BN16" s="63"/>
      <c r="BO16" s="124">
        <f>8*15.0412*COS((59+26/60+30/3600)*PI()/180)</f>
        <v>61.177413525781063</v>
      </c>
      <c r="BP16" s="233"/>
      <c r="BQ16" s="217">
        <v>1.8720000000000001</v>
      </c>
      <c r="BR16" s="233"/>
      <c r="BS16" s="217">
        <v>8.6</v>
      </c>
      <c r="BT16" s="63"/>
      <c r="BU16" s="124">
        <f>8*15.0412*COS((59+26/60+30/3600)*PI()/180)</f>
        <v>61.177413525781063</v>
      </c>
      <c r="BV16" s="222"/>
      <c r="BW16" s="217">
        <v>4.5890000000000004</v>
      </c>
      <c r="BX16" s="63"/>
      <c r="BY16" s="111">
        <f>5*15.0412*COS((31+53/60+17/3600)*PI()/180)</f>
        <v>63.856048306882585</v>
      </c>
      <c r="BZ16" s="222"/>
      <c r="CA16" s="217">
        <v>4.5890000000000004</v>
      </c>
      <c r="CB16" s="63"/>
      <c r="CC16" s="124">
        <f>5*15.0412*COS((31+53/60+17/3600)*PI()/180)</f>
        <v>63.856048306882585</v>
      </c>
    </row>
    <row r="17" spans="1:81" x14ac:dyDescent="0.3">
      <c r="A17" t="s">
        <v>7</v>
      </c>
      <c r="B17" s="117"/>
      <c r="C17" s="118">
        <v>78</v>
      </c>
      <c r="D17" s="63"/>
      <c r="E17" s="63">
        <v>-90</v>
      </c>
      <c r="F17" s="123"/>
      <c r="G17" s="118">
        <v>78</v>
      </c>
      <c r="H17" s="63"/>
      <c r="I17" s="63">
        <v>-90</v>
      </c>
      <c r="J17" s="154"/>
      <c r="K17" s="118">
        <v>44.95</v>
      </c>
      <c r="L17" s="123"/>
      <c r="M17" s="118">
        <v>44.95</v>
      </c>
      <c r="N17" s="123"/>
      <c r="O17" s="64">
        <v>-90</v>
      </c>
      <c r="Q17">
        <v>204</v>
      </c>
      <c r="R17" s="117"/>
      <c r="S17" s="118">
        <v>165.79</v>
      </c>
      <c r="T17" s="183"/>
      <c r="U17" s="183">
        <v>165.79</v>
      </c>
      <c r="V17" s="63"/>
      <c r="W17" s="64">
        <v>-90</v>
      </c>
      <c r="X17" s="183"/>
      <c r="Y17" s="183">
        <v>78.290000000000006</v>
      </c>
      <c r="Z17" s="63"/>
      <c r="AA17" s="64">
        <v>-90</v>
      </c>
      <c r="AB17" s="183"/>
      <c r="AC17" s="183">
        <v>165.68</v>
      </c>
      <c r="AD17" s="63"/>
      <c r="AE17" s="63">
        <v>-90</v>
      </c>
      <c r="AF17" s="154"/>
      <c r="AG17" s="118">
        <v>68.73</v>
      </c>
      <c r="AH17" s="123"/>
      <c r="AI17" s="118">
        <v>44.955206688345797</v>
      </c>
      <c r="AK17" s="63">
        <v>-90</v>
      </c>
      <c r="AL17" s="154"/>
      <c r="AM17" s="118">
        <v>68.73</v>
      </c>
      <c r="AN17" s="123"/>
      <c r="AO17" s="128">
        <v>44.955206688345797</v>
      </c>
      <c r="AP17" s="63"/>
      <c r="AQ17" s="64">
        <v>-90</v>
      </c>
      <c r="AR17" s="202"/>
      <c r="AS17" s="195">
        <v>253.95</v>
      </c>
      <c r="AT17" s="63"/>
      <c r="AU17" s="64">
        <v>-90</v>
      </c>
      <c r="AV17" s="202"/>
      <c r="AW17" s="195">
        <v>253.95</v>
      </c>
      <c r="AX17" s="222"/>
      <c r="AY17" s="217">
        <v>226.95</v>
      </c>
      <c r="AZ17" s="63"/>
      <c r="BA17" s="63">
        <v>-90</v>
      </c>
      <c r="BB17" s="233"/>
      <c r="BC17" s="235">
        <v>226.95</v>
      </c>
      <c r="BD17" s="222"/>
      <c r="BE17" s="217">
        <v>296.48</v>
      </c>
      <c r="BF17" s="63"/>
      <c r="BG17" s="63">
        <v>-90</v>
      </c>
      <c r="BH17" s="233"/>
      <c r="BI17" s="217">
        <v>296.48</v>
      </c>
      <c r="BJ17" s="222"/>
      <c r="BK17" s="217">
        <v>69</v>
      </c>
      <c r="BL17" s="233"/>
      <c r="BM17" s="217">
        <v>309</v>
      </c>
      <c r="BN17" s="63"/>
      <c r="BO17" s="64">
        <v>-90</v>
      </c>
      <c r="BP17" s="233"/>
      <c r="BQ17" s="217">
        <v>69</v>
      </c>
      <c r="BR17" s="233"/>
      <c r="BS17" s="217">
        <v>309</v>
      </c>
      <c r="BT17" s="63"/>
      <c r="BU17" s="64">
        <v>-90</v>
      </c>
      <c r="BV17" s="222"/>
      <c r="BW17" s="217">
        <v>57.58</v>
      </c>
      <c r="BX17" s="63"/>
      <c r="BY17" s="63">
        <v>-90</v>
      </c>
      <c r="BZ17" s="222"/>
      <c r="CA17" s="217">
        <v>57.58</v>
      </c>
      <c r="CB17" s="63"/>
      <c r="CC17" s="64">
        <v>-90</v>
      </c>
    </row>
    <row r="18" spans="1:81" x14ac:dyDescent="0.3">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72">
        <f>I16*COS((I17)/180*PI())</f>
        <v>4.6029859826403492E-15</v>
      </c>
      <c r="J18" s="71">
        <f>-K16*SIN((K17)/180*PI())</f>
        <v>-0.89229616896406605</v>
      </c>
      <c r="K18" s="72">
        <f>K16*COS((K17)/180*PI())</f>
        <v>0.89385488019703219</v>
      </c>
      <c r="L18" s="72">
        <f>-M16*SIN((M17)/180*PI())</f>
        <v>-0.89229616896406605</v>
      </c>
      <c r="M18" s="72">
        <f>M16*COS((M17)/180*PI())</f>
        <v>0.89385488019703219</v>
      </c>
      <c r="N18" s="72">
        <f>-O16*SIN((O17)/180*PI())</f>
        <v>74.8011476538843</v>
      </c>
      <c r="O18" s="125">
        <f>O16*COS((O17)/180*PI())</f>
        <v>4.5821255236773952E-15</v>
      </c>
      <c r="P18" s="9">
        <f>-Q16*SIN((Q17)/180*PI())</f>
        <v>3.8639981092200983</v>
      </c>
      <c r="Q18" s="9">
        <f>Q16*COS((Q17)/180*PI())</f>
        <v>-8.678681847604711</v>
      </c>
      <c r="R18" s="71">
        <f>-S16*SIN((S17)/180*PI())</f>
        <v>-0.5474127784719941</v>
      </c>
      <c r="S18" s="72">
        <f>S16*COS((S17)/180*PI())</f>
        <v>-2.16176762163873</v>
      </c>
      <c r="T18" s="184">
        <f>-U16*SIN((U17)/180*PI())</f>
        <v>-0.5474127784719941</v>
      </c>
      <c r="U18" s="184">
        <f>U16*COS((U17)/180*PI())</f>
        <v>-2.16176762163873</v>
      </c>
      <c r="V18" s="72">
        <f>-W16*SIN((W17)/180*PI())</f>
        <v>75.162782694540255</v>
      </c>
      <c r="W18" s="125">
        <f>W16*COS((W17)/180*PI())</f>
        <v>4.6042783542424177E-15</v>
      </c>
      <c r="X18" s="184">
        <f>-Y16*SIN((Y17)/180*PI())</f>
        <v>-6.5321591630626559</v>
      </c>
      <c r="Y18" s="184">
        <f>Y16*COS((Y17)/180*PI())</f>
        <v>1.3539341447857005</v>
      </c>
      <c r="Z18" s="72">
        <f>-AA16*SIN((AA17)/180*PI())</f>
        <v>72.026765095466743</v>
      </c>
      <c r="AA18" s="125">
        <f>AA16*COS((AA17)/180*PI())</f>
        <v>4.4121739984388602E-15</v>
      </c>
      <c r="AB18" s="184">
        <f>-AC16*SIN((AC17)/180*PI())</f>
        <v>-0.55279874920885341</v>
      </c>
      <c r="AC18" s="184">
        <f>AC16*COS((AC17)/180*PI())</f>
        <v>-2.1655573284660758</v>
      </c>
      <c r="AD18" s="72">
        <f>-AE16*SIN((AE17)/180*PI())</f>
        <v>72.026765095466743</v>
      </c>
      <c r="AE18" s="72">
        <f>AE16*COS((AE17)/180*PI())</f>
        <v>4.4121739984388602E-15</v>
      </c>
      <c r="AF18" s="71">
        <f>-AG16*SIN((AG17)/180*PI())</f>
        <v>-5.5139416388586495</v>
      </c>
      <c r="AG18" s="72">
        <f>AG16*COS((AG17)/180*PI())</f>
        <v>2.1464707319832677</v>
      </c>
      <c r="AH18" s="72">
        <f>-AI16*SIN((AI17)/180*PI())</f>
        <v>-0.72563070699745691</v>
      </c>
      <c r="AI18" s="72">
        <f>AI16*COS((AI17)/180*PI())</f>
        <v>0.7267661777094272</v>
      </c>
      <c r="AJ18" s="72">
        <f>-AK16*SIN((AK17)/180*PI())</f>
        <v>71.666780530880629</v>
      </c>
      <c r="AK18" s="72">
        <f>AK16*COS((AK17)/180*PI())</f>
        <v>4.3901222717841786E-15</v>
      </c>
      <c r="AL18" s="71">
        <f>-AM16*SIN((AM17)/180*PI())</f>
        <v>-5.5139416388586495</v>
      </c>
      <c r="AM18" s="72">
        <f>AM16*COS((AM17)/180*PI())</f>
        <v>2.1464707319832677</v>
      </c>
      <c r="AN18" s="72">
        <f>-AO16*SIN((AO17)/180*PI())</f>
        <v>-0.72563070699745691</v>
      </c>
      <c r="AO18" s="125">
        <f>AO16*COS((AO17)/180*PI())</f>
        <v>0.7267661777094272</v>
      </c>
      <c r="AP18" s="72">
        <f>-AQ16*SIN((AQ17)/180*PI())</f>
        <v>69.478074504350474</v>
      </c>
      <c r="AQ18" s="125">
        <f>AQ16*COS((AQ17)/180*PI())</f>
        <v>4.2560477814515481E-15</v>
      </c>
      <c r="AR18" s="203">
        <f>-AS16*SIN((AS17)/180*PI())</f>
        <v>1.5366722447730627</v>
      </c>
      <c r="AS18" s="204">
        <f>AS16*COS((AS17)/180*PI())</f>
        <v>-0.44208529962453608</v>
      </c>
      <c r="AT18" s="72">
        <f>-AU16*SIN((AU17)/180*PI())</f>
        <v>69.478074504350474</v>
      </c>
      <c r="AU18" s="125">
        <f>AU16*COS((AU17)/180*PI())</f>
        <v>4.2560477814515481E-15</v>
      </c>
      <c r="AV18" s="203">
        <f>-AW16*SIN((AW17)/180*PI())</f>
        <v>1.5366722447730627</v>
      </c>
      <c r="AW18" s="204">
        <f>AW16*COS((AW17)/180*PI())</f>
        <v>-0.44208529962453608</v>
      </c>
      <c r="AX18" s="223">
        <f>-AY16*SIN((AY17)/180*PI())</f>
        <v>4.0951693303530572</v>
      </c>
      <c r="AY18" s="224">
        <f>AY16*COS((AY17)/180*PI())</f>
        <v>-3.8254939753887598</v>
      </c>
      <c r="AZ18" s="72">
        <f>-BA16*SIN((BA17)/180*PI())</f>
        <v>69.737981111916611</v>
      </c>
      <c r="BA18" s="72">
        <f>BA16*COS((BA17)/180*PI())</f>
        <v>4.2719689903855582E-15</v>
      </c>
      <c r="BB18" s="224">
        <f>-BC16*SIN((BC17)/180*PI())</f>
        <v>4.0951693303530572</v>
      </c>
      <c r="BC18" s="238">
        <f>BC16*COS((BC17)/180*PI())</f>
        <v>-3.8254939753887598</v>
      </c>
      <c r="BD18" s="223">
        <f>-BE16*SIN((BE17)/180*PI())</f>
        <v>2.5823348216442938</v>
      </c>
      <c r="BE18" s="224">
        <f>BE16*COS((BE17)/180*PI())</f>
        <v>1.2863793643102848</v>
      </c>
      <c r="BF18" s="72">
        <f>-BG16*SIN((BG17)/180*PI())</f>
        <v>74.734542372061654</v>
      </c>
      <c r="BG18" s="72">
        <f>BG16*COS((BG17)/180*PI())</f>
        <v>4.5780454557717067E-15</v>
      </c>
      <c r="BH18" s="224">
        <f>-BI16*SIN((BI17)/180*PI())</f>
        <v>2.5823348216442938</v>
      </c>
      <c r="BI18" s="224">
        <f>BI16*COS((BI17)/180*PI())</f>
        <v>1.2863793643102848</v>
      </c>
      <c r="BJ18" s="223">
        <f>-BK16*SIN((BK17)/180*PI())</f>
        <v>-1.7476625584027619</v>
      </c>
      <c r="BK18" s="224">
        <f>BK16*COS((BK17)/180*PI())</f>
        <v>0.6708648015488019</v>
      </c>
      <c r="BL18" s="224">
        <f>-BM16*SIN((BM17)/180*PI())</f>
        <v>6.6834552685299533</v>
      </c>
      <c r="BM18" s="224">
        <f>BM16*COS((BM17)/180*PI())</f>
        <v>5.4121553630285968</v>
      </c>
      <c r="BN18" s="72">
        <f>-BO16*SIN((BO17)/180*PI())</f>
        <v>61.177413525781063</v>
      </c>
      <c r="BO18" s="125">
        <f>BO16*COS((BO17)/180*PI())</f>
        <v>3.7475706828208192E-15</v>
      </c>
      <c r="BP18" s="224">
        <f>-BQ16*SIN((BQ17)/180*PI())</f>
        <v>-1.7476625584027619</v>
      </c>
      <c r="BQ18" s="224">
        <f>BQ16*COS((BQ17)/180*PI())</f>
        <v>0.6708648015488019</v>
      </c>
      <c r="BR18" s="224">
        <f>-BS16*SIN((BS17)/180*PI())</f>
        <v>6.6834552685299533</v>
      </c>
      <c r="BS18" s="224">
        <f>BS16*COS((BS17)/180*PI())</f>
        <v>5.4121553630285968</v>
      </c>
      <c r="BT18" s="72">
        <f>-BU16*SIN((BU17)/180*PI())</f>
        <v>61.177413525781063</v>
      </c>
      <c r="BU18" s="125">
        <f>BU16*COS((BU17)/180*PI())</f>
        <v>3.7475706828208192E-15</v>
      </c>
      <c r="BV18" s="223">
        <f>-BW16*SIN((BW17)/180*PI())</f>
        <v>-3.8737622928730366</v>
      </c>
      <c r="BW18" s="224">
        <f>BW16*COS((BW17)/180*PI())</f>
        <v>2.4602615101478613</v>
      </c>
      <c r="BX18" s="72">
        <f>-BY16*SIN((BY17)/180*PI())</f>
        <v>63.856048306882585</v>
      </c>
      <c r="BY18" s="72">
        <f>BY16*COS((BY17)/180*PI())</f>
        <v>3.9116569459873698E-15</v>
      </c>
      <c r="BZ18" s="223">
        <f>-CA16*SIN((CA17)/180*PI())</f>
        <v>-3.8737622928730366</v>
      </c>
      <c r="CA18" s="224">
        <f>CA16*COS((CA17)/180*PI())</f>
        <v>2.4602615101478613</v>
      </c>
      <c r="CB18" s="72">
        <f>-CC16*SIN((CC17)/180*PI())</f>
        <v>63.856048306882585</v>
      </c>
      <c r="CC18" s="125">
        <f>CC16*COS((CC17)/180*PI())</f>
        <v>3.9116569459873698E-15</v>
      </c>
    </row>
    <row r="19" spans="1:81" s="14" customFormat="1" ht="69" customHeight="1" x14ac:dyDescent="0.3">
      <c r="A19" s="15" t="s">
        <v>40</v>
      </c>
      <c r="B19" s="387" t="s">
        <v>211</v>
      </c>
      <c r="C19" s="388"/>
      <c r="D19" s="65"/>
      <c r="E19" s="65"/>
      <c r="F19" s="388" t="s">
        <v>211</v>
      </c>
      <c r="G19" s="388"/>
      <c r="H19" s="65"/>
      <c r="I19" s="65"/>
      <c r="J19" s="404"/>
      <c r="K19" s="405"/>
      <c r="L19" s="405"/>
      <c r="M19" s="405"/>
      <c r="N19" s="405"/>
      <c r="O19" s="410"/>
      <c r="P19" s="389" t="s">
        <v>49</v>
      </c>
      <c r="Q19" s="389"/>
      <c r="R19" s="84"/>
      <c r="S19" s="85"/>
      <c r="T19" s="180"/>
      <c r="U19" s="180"/>
      <c r="V19" s="65"/>
      <c r="W19" s="66"/>
      <c r="X19" s="180"/>
      <c r="Y19" s="180"/>
      <c r="Z19" s="65"/>
      <c r="AA19" s="66"/>
      <c r="AB19" s="180"/>
      <c r="AC19" s="180"/>
      <c r="AD19" s="65"/>
      <c r="AE19" s="65"/>
      <c r="AF19" s="404"/>
      <c r="AG19" s="405"/>
      <c r="AH19" s="405"/>
      <c r="AI19" s="405"/>
      <c r="AJ19" s="65"/>
      <c r="AK19" s="65"/>
      <c r="AL19" s="404"/>
      <c r="AM19" s="405"/>
      <c r="AN19" s="405"/>
      <c r="AO19" s="410"/>
      <c r="AP19" s="65"/>
      <c r="AQ19" s="66"/>
      <c r="AR19" s="418"/>
      <c r="AS19" s="417"/>
      <c r="AT19" s="65"/>
      <c r="AU19" s="66"/>
      <c r="AV19" s="418"/>
      <c r="AW19" s="417"/>
      <c r="AX19" s="421"/>
      <c r="AY19" s="422"/>
      <c r="AZ19" s="65"/>
      <c r="BA19" s="65"/>
      <c r="BB19" s="422"/>
      <c r="BC19" s="423"/>
      <c r="BD19" s="421"/>
      <c r="BE19" s="422"/>
      <c r="BF19" s="65"/>
      <c r="BG19" s="65"/>
      <c r="BH19" s="422"/>
      <c r="BI19" s="422"/>
      <c r="BJ19" s="421"/>
      <c r="BK19" s="422"/>
      <c r="BL19" s="422" t="s">
        <v>267</v>
      </c>
      <c r="BM19" s="422"/>
      <c r="BN19" s="65"/>
      <c r="BO19" s="66"/>
      <c r="BP19" s="422"/>
      <c r="BQ19" s="422"/>
      <c r="BR19" s="422" t="s">
        <v>267</v>
      </c>
      <c r="BS19" s="422"/>
      <c r="BT19" s="65"/>
      <c r="BU19" s="66"/>
      <c r="BV19" s="421"/>
      <c r="BW19" s="422"/>
      <c r="BX19" s="65"/>
      <c r="BY19" s="65"/>
      <c r="BZ19" s="421"/>
      <c r="CA19" s="422"/>
      <c r="CB19" s="65"/>
      <c r="CC19" s="66"/>
    </row>
    <row r="20" spans="1:81" s="19" customFormat="1" x14ac:dyDescent="0.3">
      <c r="A20" s="18" t="s">
        <v>38</v>
      </c>
      <c r="B20" s="126"/>
      <c r="C20" s="127"/>
      <c r="D20" s="67"/>
      <c r="E20" s="67"/>
      <c r="F20" s="127"/>
      <c r="G20" s="127"/>
      <c r="H20" s="67"/>
      <c r="I20" s="67"/>
      <c r="J20" s="126"/>
      <c r="K20" s="127"/>
      <c r="L20" s="127"/>
      <c r="M20" s="127"/>
      <c r="N20" s="127"/>
      <c r="O20" s="155"/>
      <c r="P20" s="126"/>
      <c r="Q20" s="127"/>
      <c r="R20" s="86"/>
      <c r="S20" s="87"/>
      <c r="T20" s="179"/>
      <c r="U20" s="179"/>
      <c r="V20" s="67"/>
      <c r="W20" s="68"/>
      <c r="X20" s="179"/>
      <c r="Y20" s="179"/>
      <c r="Z20" s="67"/>
      <c r="AA20" s="68"/>
      <c r="AB20" s="179"/>
      <c r="AC20" s="179"/>
      <c r="AD20" s="67"/>
      <c r="AE20" s="67"/>
      <c r="AF20" s="126"/>
      <c r="AG20" s="127"/>
      <c r="AH20" s="127"/>
      <c r="AI20" s="127"/>
      <c r="AJ20" s="67"/>
      <c r="AK20" s="67"/>
      <c r="AL20" s="126"/>
      <c r="AM20" s="127"/>
      <c r="AN20" s="127"/>
      <c r="AO20" s="155"/>
      <c r="AP20" s="67"/>
      <c r="AQ20" s="68"/>
      <c r="AR20" s="194"/>
      <c r="AS20" s="195"/>
      <c r="AT20" s="67"/>
      <c r="AU20" s="68"/>
      <c r="AV20" s="194"/>
      <c r="AW20" s="195"/>
      <c r="AX20" s="126"/>
      <c r="AY20" s="127"/>
      <c r="AZ20" s="67"/>
      <c r="BA20" s="67"/>
      <c r="BB20" s="127"/>
      <c r="BC20" s="155"/>
      <c r="BD20" s="126"/>
      <c r="BE20" s="127"/>
      <c r="BF20" s="67"/>
      <c r="BG20" s="67"/>
      <c r="BH20" s="127"/>
      <c r="BI20" s="127"/>
      <c r="BJ20" s="126"/>
      <c r="BK20" s="127"/>
      <c r="BL20" s="127"/>
      <c r="BM20" s="127"/>
      <c r="BN20" s="67"/>
      <c r="BO20" s="68"/>
      <c r="BP20" s="127"/>
      <c r="BQ20" s="127"/>
      <c r="BR20" s="127"/>
      <c r="BS20" s="127"/>
      <c r="BT20" s="67"/>
      <c r="BU20" s="68"/>
      <c r="BV20" s="126"/>
      <c r="BW20" s="127"/>
      <c r="BX20" s="67"/>
      <c r="BY20" s="67"/>
      <c r="BZ20" s="126"/>
      <c r="CA20" s="127"/>
      <c r="CB20" s="67"/>
      <c r="CC20" s="68"/>
    </row>
    <row r="21" spans="1:81" x14ac:dyDescent="0.3">
      <c r="A21" s="7" t="s">
        <v>65</v>
      </c>
      <c r="B21" s="117"/>
      <c r="C21" s="118">
        <f>C16/C8</f>
        <v>0.12205288696501548</v>
      </c>
      <c r="D21" s="63"/>
      <c r="E21" s="118">
        <f>E16/E8</f>
        <v>0.11436878645549575</v>
      </c>
      <c r="F21" s="118"/>
      <c r="G21" s="118">
        <f>G16/G8</f>
        <v>0.11233916207736526</v>
      </c>
      <c r="H21" s="63"/>
      <c r="I21" s="118">
        <f>I16/I8</f>
        <v>0.11741963387250817</v>
      </c>
      <c r="J21" s="117"/>
      <c r="K21" s="118">
        <f>K16/K8</f>
        <v>0.12267340441572246</v>
      </c>
      <c r="L21" s="118"/>
      <c r="M21" s="118">
        <f>M16/M8</f>
        <v>0.1263</v>
      </c>
      <c r="N21" s="118"/>
      <c r="O21" s="128">
        <f>O16/O8</f>
        <v>0.11615239075336274</v>
      </c>
      <c r="P21" s="117"/>
      <c r="Q21" s="118">
        <f>Q16/Q8</f>
        <v>0.10516032420797322</v>
      </c>
      <c r="R21" s="73"/>
      <c r="S21" s="74">
        <f>S16/S8</f>
        <v>0.11136088578487967</v>
      </c>
      <c r="T21" s="179"/>
      <c r="U21" s="179">
        <f>U16/U8</f>
        <v>0.14736254790148501</v>
      </c>
      <c r="V21" s="63"/>
      <c r="W21" s="128">
        <f>W16/W8</f>
        <v>0.11933472142823315</v>
      </c>
      <c r="X21" s="179"/>
      <c r="Y21" s="179">
        <f>Y16/Y8</f>
        <v>0.10799079979642182</v>
      </c>
      <c r="Z21" s="63"/>
      <c r="AA21" s="128">
        <f>AA16/AA8</f>
        <v>0.10577495635657798</v>
      </c>
      <c r="AB21" s="179"/>
      <c r="AC21" s="179">
        <f>AC16/AC8</f>
        <v>4.3789870782058773E-2</v>
      </c>
      <c r="AD21" s="63"/>
      <c r="AE21" s="118">
        <f>AE16/AE8</f>
        <v>0.10986610694520915</v>
      </c>
      <c r="AF21" s="117"/>
      <c r="AG21" s="118">
        <f>AG16/AG8</f>
        <v>0.10303297587494528</v>
      </c>
      <c r="AI21" s="118">
        <f>AI16/AI8</f>
        <v>0.10886178227665316</v>
      </c>
      <c r="AK21" s="118">
        <f>AK16/AK8</f>
        <v>0.11371955306841075</v>
      </c>
      <c r="AL21" s="117"/>
      <c r="AM21" s="118">
        <f>AM16/AM8</f>
        <v>0.10250594952428445</v>
      </c>
      <c r="AN21" s="118"/>
      <c r="AO21" s="128">
        <f>AO16/AO8</f>
        <v>0.10374266632551203</v>
      </c>
      <c r="AP21" s="63"/>
      <c r="AQ21" s="128">
        <f>AQ16/AQ8</f>
        <v>0.11409719907153984</v>
      </c>
      <c r="AR21" s="194"/>
      <c r="AS21" s="195">
        <f>AS16/AS8</f>
        <v>0.15315642300686211</v>
      </c>
      <c r="AT21" s="63"/>
      <c r="AU21" s="128">
        <f>AU16/AU8</f>
        <v>0.12193846938180561</v>
      </c>
      <c r="AV21" s="194"/>
      <c r="AW21" s="195">
        <f>AW16/AW8</f>
        <v>0.15679485004297813</v>
      </c>
      <c r="AX21" s="216"/>
      <c r="AY21" s="217">
        <f>AY16/AY8</f>
        <v>0.11920706347318707</v>
      </c>
      <c r="AZ21" s="63"/>
      <c r="BA21" s="118">
        <f>BA16/BA8</f>
        <v>0.12020038636569974</v>
      </c>
      <c r="BB21" s="217"/>
      <c r="BC21" s="235">
        <f>BC16/BC8</f>
        <v>0.10965073327529601</v>
      </c>
      <c r="BD21" s="216"/>
      <c r="BE21" s="217">
        <f>BE16/BE8</f>
        <v>0.13100110175030519</v>
      </c>
      <c r="BF21" s="63"/>
      <c r="BG21" s="118">
        <f>BG16/BG8</f>
        <v>0.11534069823052814</v>
      </c>
      <c r="BH21" s="217"/>
      <c r="BI21" s="217">
        <f>BI16/BI8</f>
        <v>0.13335917217581547</v>
      </c>
      <c r="BJ21" s="216"/>
      <c r="BK21" s="217">
        <f>BK16/BK8</f>
        <v>0.1038398767333629</v>
      </c>
      <c r="BL21" s="217"/>
      <c r="BM21" s="217">
        <f>BM16/BM8</f>
        <v>0.11441269810089116</v>
      </c>
      <c r="BN21" s="63"/>
      <c r="BO21" s="128">
        <f>BO16/BO8</f>
        <v>0.11505186022228735</v>
      </c>
      <c r="BP21" s="217"/>
      <c r="BQ21" s="217">
        <f>BQ16/BQ8</f>
        <v>0.11677215168249797</v>
      </c>
      <c r="BR21" s="217"/>
      <c r="BS21" s="217">
        <f>BS16/BS8</f>
        <v>0.11558471607265111</v>
      </c>
      <c r="BT21" s="63"/>
      <c r="BU21" s="128">
        <f>BU16/BU8</f>
        <v>0.11791846530277995</v>
      </c>
      <c r="BV21" s="216"/>
      <c r="BW21" s="217">
        <f>BW16/BW8</f>
        <v>0.11888441456661021</v>
      </c>
      <c r="BX21" s="63"/>
      <c r="BY21" s="118">
        <f>BY16/BY8</f>
        <v>0.11748530865114117</v>
      </c>
      <c r="BZ21" s="216"/>
      <c r="CA21" s="217">
        <f>CA16/CA8</f>
        <v>0.11793836970586438</v>
      </c>
      <c r="CB21" s="63"/>
      <c r="CC21" s="128">
        <f>CC16/CC8</f>
        <v>0.12857985284893864</v>
      </c>
    </row>
    <row r="22" spans="1:81" x14ac:dyDescent="0.3">
      <c r="A22" t="s">
        <v>34</v>
      </c>
      <c r="B22" s="117">
        <f>STDEV(E21,I21:S21,AI21:AK21)</f>
        <v>6.5518791632922626E-3</v>
      </c>
      <c r="C22" s="129">
        <f>AVERAGE(E21,I21:S21,AI21:AK21)</f>
        <v>0.11511297342611176</v>
      </c>
      <c r="D22" s="63"/>
      <c r="E22" s="63"/>
      <c r="F22" s="118"/>
      <c r="G22" s="118"/>
      <c r="H22" s="63"/>
      <c r="I22" s="63"/>
      <c r="J22" s="117"/>
      <c r="K22" s="118"/>
      <c r="L22" s="118"/>
      <c r="M22" s="118"/>
      <c r="N22" s="118"/>
      <c r="O22" s="128"/>
      <c r="P22" s="117">
        <f>STDEV(P21:S21,AI21:AK21)</f>
        <v>3.6607708791208875E-3</v>
      </c>
      <c r="Q22" s="118">
        <f>AVERAGE(P21:S21,AI21:AK21)</f>
        <v>0.1097756363344792</v>
      </c>
      <c r="R22" s="73"/>
      <c r="S22" s="74"/>
      <c r="T22" s="179"/>
      <c r="U22" s="179"/>
      <c r="V22" s="63"/>
      <c r="W22" s="64"/>
      <c r="X22" s="179"/>
      <c r="Y22" s="179"/>
      <c r="Z22" s="63"/>
      <c r="AA22" s="64"/>
      <c r="AB22" s="179"/>
      <c r="AC22" s="179"/>
      <c r="AD22" s="63"/>
      <c r="AE22" s="63"/>
      <c r="AF22" s="117"/>
      <c r="AL22" s="117"/>
      <c r="AM22" s="118"/>
      <c r="AN22" s="118"/>
      <c r="AO22" s="128"/>
      <c r="AP22" s="63"/>
      <c r="AQ22" s="64"/>
      <c r="AR22" s="194"/>
      <c r="AS22" s="195"/>
      <c r="AT22" s="63"/>
      <c r="AU22" s="64"/>
      <c r="AV22" s="194"/>
      <c r="AW22" s="195"/>
      <c r="AX22" s="216"/>
      <c r="AY22" s="217"/>
      <c r="AZ22" s="63"/>
      <c r="BA22" s="63"/>
      <c r="BB22" s="217"/>
      <c r="BC22" s="235"/>
      <c r="BD22" s="216"/>
      <c r="BE22" s="217"/>
      <c r="BF22" s="63"/>
      <c r="BG22" s="63"/>
      <c r="BH22" s="217"/>
      <c r="BI22" s="217"/>
      <c r="BJ22" s="216"/>
      <c r="BK22" s="217"/>
      <c r="BL22" s="217"/>
      <c r="BM22" s="217"/>
      <c r="BN22" s="63"/>
      <c r="BO22" s="64"/>
      <c r="BP22" s="217"/>
      <c r="BQ22" s="217"/>
      <c r="BR22" s="217"/>
      <c r="BS22" s="217"/>
      <c r="BT22" s="63"/>
      <c r="BU22" s="64"/>
      <c r="BV22" s="216"/>
      <c r="BW22" s="217"/>
      <c r="BX22" s="63"/>
      <c r="BY22" s="63"/>
      <c r="BZ22" s="216"/>
      <c r="CA22" s="217"/>
      <c r="CB22" s="63"/>
      <c r="CC22" s="64"/>
    </row>
    <row r="23" spans="1:81" x14ac:dyDescent="0.3">
      <c r="A23" t="s">
        <v>35</v>
      </c>
      <c r="B23" s="117"/>
      <c r="C23" s="118">
        <f>C21-$C22</f>
        <v>6.9399135389037192E-3</v>
      </c>
      <c r="D23" s="63"/>
      <c r="E23" s="118">
        <f>E21-$C22</f>
        <v>-7.4418697061601202E-4</v>
      </c>
      <c r="F23" s="118"/>
      <c r="G23" s="118">
        <f>G21-$C22</f>
        <v>-2.7738113487465049E-3</v>
      </c>
      <c r="H23" s="63"/>
      <c r="I23" s="118">
        <f>I21-$C22</f>
        <v>2.306660446396408E-3</v>
      </c>
      <c r="J23" s="117"/>
      <c r="K23" s="118">
        <f>K21-$C22</f>
        <v>7.5604309896106919E-3</v>
      </c>
      <c r="L23" s="118"/>
      <c r="M23" s="118">
        <f>M21-$C22</f>
        <v>1.1187026573888231E-2</v>
      </c>
      <c r="N23" s="118"/>
      <c r="O23" s="128">
        <f>O21-$C22</f>
        <v>1.0394173272509771E-3</v>
      </c>
      <c r="P23" s="117"/>
      <c r="Q23" s="118">
        <f>Q21-$C22</f>
        <v>-9.9526492181385429E-3</v>
      </c>
      <c r="R23" s="73"/>
      <c r="S23" s="74">
        <f>S21-$C22</f>
        <v>-3.7520876412320964E-3</v>
      </c>
      <c r="T23" s="179"/>
      <c r="U23" s="179">
        <f>U21-$C22</f>
        <v>3.2249574475373244E-2</v>
      </c>
      <c r="V23" s="63"/>
      <c r="W23" s="128">
        <f>W21-$C22</f>
        <v>4.2217480021213838E-3</v>
      </c>
      <c r="X23" s="179"/>
      <c r="Y23" s="179">
        <f>Y21-$C22</f>
        <v>-7.1221736296899485E-3</v>
      </c>
      <c r="Z23" s="63"/>
      <c r="AA23" s="128">
        <f>AA21-$C22</f>
        <v>-9.3380170695337855E-3</v>
      </c>
      <c r="AB23" s="179"/>
      <c r="AC23" s="179">
        <f>AC21-$C22</f>
        <v>-7.1323102644052991E-2</v>
      </c>
      <c r="AD23" s="63"/>
      <c r="AE23" s="118">
        <f>AE21-$C22</f>
        <v>-5.2468664809026122E-3</v>
      </c>
      <c r="AF23" s="117"/>
      <c r="AG23" s="118">
        <f>AG21-$C22</f>
        <v>-1.2079997551166483E-2</v>
      </c>
      <c r="AI23" s="118">
        <f>AI21-$C22</f>
        <v>-6.2511911494586014E-3</v>
      </c>
      <c r="AK23" s="118">
        <f>AK21-$C22</f>
        <v>-1.393420357701014E-3</v>
      </c>
      <c r="AL23" s="117"/>
      <c r="AM23" s="118">
        <f>AM21-$C22</f>
        <v>-1.2607023901827316E-2</v>
      </c>
      <c r="AN23" s="118"/>
      <c r="AO23" s="128">
        <f>AO21-$C22</f>
        <v>-1.1370307100599733E-2</v>
      </c>
      <c r="AP23" s="63"/>
      <c r="AQ23" s="128">
        <f>AQ21-$C22</f>
        <v>-1.0157743545719244E-3</v>
      </c>
      <c r="AR23" s="194"/>
      <c r="AS23" s="195">
        <f>AS21-$C22</f>
        <v>3.8043449580750344E-2</v>
      </c>
      <c r="AT23" s="63"/>
      <c r="AU23" s="128">
        <f>AU21-$C22</f>
        <v>6.8254959556938444E-3</v>
      </c>
      <c r="AV23" s="194"/>
      <c r="AW23" s="195">
        <f>AW21-$C22</f>
        <v>4.168187661686637E-2</v>
      </c>
      <c r="AX23" s="216"/>
      <c r="AY23" s="217">
        <f>AY21-$C22</f>
        <v>4.0940900470753105E-3</v>
      </c>
      <c r="AZ23" s="63"/>
      <c r="BA23" s="118">
        <f>BA21-$C22</f>
        <v>5.0874129395879764E-3</v>
      </c>
      <c r="BB23" s="217"/>
      <c r="BC23" s="235">
        <f>BC21-$C22</f>
        <v>-5.4622401508157559E-3</v>
      </c>
      <c r="BD23" s="216"/>
      <c r="BE23" s="217">
        <f>BE21-$C22</f>
        <v>1.5888128324193423E-2</v>
      </c>
      <c r="BF23" s="63"/>
      <c r="BG23" s="118">
        <f>BG21-$C22</f>
        <v>2.2772480441637932E-4</v>
      </c>
      <c r="BH23" s="217"/>
      <c r="BI23" s="217">
        <f>BI21-$C22</f>
        <v>1.8246198749703707E-2</v>
      </c>
      <c r="BJ23" s="216"/>
      <c r="BK23" s="217">
        <f>BK21-$C22</f>
        <v>-1.1273096692748868E-2</v>
      </c>
      <c r="BL23" s="217"/>
      <c r="BM23" s="217">
        <f>BM21-$C22</f>
        <v>-7.0027532522060065E-4</v>
      </c>
      <c r="BN23" s="63"/>
      <c r="BO23" s="128">
        <f>BO21-$C22</f>
        <v>-6.1113203824417206E-5</v>
      </c>
      <c r="BP23" s="217"/>
      <c r="BQ23" s="217">
        <f>BQ21-$C22</f>
        <v>1.6591782563862012E-3</v>
      </c>
      <c r="BR23" s="217"/>
      <c r="BS23" s="217">
        <f>BS21-$C22</f>
        <v>4.7174264653934705E-4</v>
      </c>
      <c r="BT23" s="63"/>
      <c r="BU23" s="128">
        <f>BU21-$C22</f>
        <v>2.8054918766681897E-3</v>
      </c>
      <c r="BV23" s="216"/>
      <c r="BW23" s="217">
        <f>BW21-$C22</f>
        <v>3.7714411404984466E-3</v>
      </c>
      <c r="BX23" s="63"/>
      <c r="BY23" s="118">
        <f>BY21-$C22</f>
        <v>2.3723352250294011E-3</v>
      </c>
      <c r="BZ23" s="216"/>
      <c r="CA23" s="217">
        <f>CA21-$C22</f>
        <v>2.8253962797526178E-3</v>
      </c>
      <c r="CB23" s="63"/>
      <c r="CC23" s="128">
        <f>CC21-$C22</f>
        <v>1.3466879422826872E-2</v>
      </c>
    </row>
    <row r="24" spans="1:81" x14ac:dyDescent="0.3">
      <c r="A24" s="7" t="s">
        <v>64</v>
      </c>
      <c r="B24" s="117"/>
      <c r="C24" s="74">
        <f>MOD(C9-C17,360)</f>
        <v>170.96248897457818</v>
      </c>
      <c r="D24" s="63"/>
      <c r="E24" s="74">
        <f>MOD(E9-E17,360)</f>
        <v>172.91825023114143</v>
      </c>
      <c r="F24" s="118"/>
      <c r="G24" s="74">
        <f>MOD(G9-G17,360)</f>
        <v>274.40535663140855</v>
      </c>
      <c r="H24" s="63"/>
      <c r="I24" s="74">
        <f>MOD(I9-I17,360)</f>
        <v>278.446650401429</v>
      </c>
      <c r="J24" s="117"/>
      <c r="K24" s="74">
        <f>MOD(K9-K17,360)</f>
        <v>285.99539590092286</v>
      </c>
      <c r="L24" s="118"/>
      <c r="M24" s="74">
        <f>MOD(M9-M17,360)</f>
        <v>188.18010235415596</v>
      </c>
      <c r="N24" s="118"/>
      <c r="O24" s="138">
        <f>MOD(O9-O17,360)</f>
        <v>185.52468350412838</v>
      </c>
      <c r="P24" s="117"/>
      <c r="Q24" s="74">
        <f>MOD(Q9-Q17,360)</f>
        <v>182.2814110213202</v>
      </c>
      <c r="R24" s="73"/>
      <c r="S24" s="74">
        <f>MOD(S9-S17,360)</f>
        <v>191.34759477388829</v>
      </c>
      <c r="T24" s="179"/>
      <c r="U24" s="179">
        <f>MOD(U9-U17,360)</f>
        <v>276.61535663140853</v>
      </c>
      <c r="V24" s="63"/>
      <c r="W24" s="138">
        <f>MOD(W9-W17,360)</f>
        <v>277.1137332101124</v>
      </c>
      <c r="X24" s="179"/>
      <c r="Y24" s="179">
        <f>MOD(Y9-Y17,360)</f>
        <v>220.76460409907713</v>
      </c>
      <c r="Z24" s="63"/>
      <c r="AA24" s="138">
        <f>MOD(AA9-AA17,360)</f>
        <v>279.29632813981664</v>
      </c>
      <c r="AB24" s="179"/>
      <c r="AC24" s="179">
        <f>MOD(AC9-AC17,360)</f>
        <v>12.074257434104936</v>
      </c>
      <c r="AD24" s="63"/>
      <c r="AE24" s="74">
        <f>MOD(AE9-AE17,360)</f>
        <v>165.60341046868632</v>
      </c>
      <c r="AF24" s="117"/>
      <c r="AG24" s="74">
        <f>MOD(AG9-AG17,360)</f>
        <v>166.19624550665168</v>
      </c>
      <c r="AI24" s="74">
        <f>MOD(AI9-AI17,360)</f>
        <v>167.0501765197377</v>
      </c>
      <c r="AK24" s="74">
        <f>MOD(AK9-AK17,360)</f>
        <v>166.97812546536676</v>
      </c>
      <c r="AL24" s="117"/>
      <c r="AM24" s="74">
        <f>MOD(AM9-AM17,360)</f>
        <v>277.23375653207353</v>
      </c>
      <c r="AN24" s="118"/>
      <c r="AO24" s="138">
        <f>MOD(AO9-AO17,360)</f>
        <v>270.04479331165419</v>
      </c>
      <c r="AP24" s="63"/>
      <c r="AQ24" s="138">
        <f>MOD(AQ9-AQ17,360)</f>
        <v>279.26123093498927</v>
      </c>
      <c r="AR24" s="194"/>
      <c r="AS24" s="197">
        <f>MOD(AS9-AS17,360)</f>
        <v>302.74924423399364</v>
      </c>
      <c r="AT24" s="63"/>
      <c r="AU24" s="138">
        <f>MOD(AU9-AU17,360)</f>
        <v>184.52981674974276</v>
      </c>
      <c r="AV24" s="194"/>
      <c r="AW24" s="197">
        <f>MOD(AW9-AW17,360)</f>
        <v>207.35993247402021</v>
      </c>
      <c r="AX24" s="216"/>
      <c r="AY24" s="219">
        <f>MOD(AY9-AY17,360)</f>
        <v>184.96122711902473</v>
      </c>
      <c r="AZ24" s="63"/>
      <c r="BA24" s="74">
        <f>MOD(BA9-BA17,360)</f>
        <v>279.02396690537887</v>
      </c>
      <c r="BB24" s="217"/>
      <c r="BC24" s="236">
        <f>MOD(BC9-BC17,360)</f>
        <v>282.47077312751099</v>
      </c>
      <c r="BD24" s="216"/>
      <c r="BE24" s="219">
        <f>MOD(BE9-BE17,360)</f>
        <v>282.9924598483438</v>
      </c>
      <c r="BF24" s="63"/>
      <c r="BG24" s="74">
        <f>MOD(BG9-BG17,360)</f>
        <v>183.09644448815115</v>
      </c>
      <c r="BH24" s="217"/>
      <c r="BI24" s="219">
        <f>MOD(BI9-BI17,360)</f>
        <v>187.21006752597975</v>
      </c>
      <c r="BJ24" s="216"/>
      <c r="BK24" s="219">
        <f>MOD(BK9-BK17,360)</f>
        <v>181.55996517182382</v>
      </c>
      <c r="BL24" s="217"/>
      <c r="BM24" s="219">
        <f>MOD(BM9-BM17,360)</f>
        <v>181.6839724801344</v>
      </c>
      <c r="BN24" s="63"/>
      <c r="BO24" s="138">
        <f>MOD(BO9-BO17,360)</f>
        <v>183.01845082130563</v>
      </c>
      <c r="BP24" s="217"/>
      <c r="BQ24" s="219">
        <f>MOD(BQ9-BQ17,360)</f>
        <v>287.42366562500263</v>
      </c>
      <c r="BR24" s="217"/>
      <c r="BS24" s="219">
        <f>MOD(BS9-BS17,360)</f>
        <v>284.74616226255523</v>
      </c>
      <c r="BT24" s="63"/>
      <c r="BU24" s="138">
        <f>MOD(BU9-BU17,360)</f>
        <v>285.88471731146802</v>
      </c>
      <c r="BV24" s="216"/>
      <c r="BW24" s="219">
        <f>MOD(BW9-BW17,360)</f>
        <v>285.86292862436341</v>
      </c>
      <c r="BX24" s="63"/>
      <c r="BY24" s="74">
        <f>MOD(BY9-BY17,360)</f>
        <v>284.16407855146122</v>
      </c>
      <c r="BZ24" s="216"/>
      <c r="CA24" s="219">
        <f>MOD(CA9-CA17,360)</f>
        <v>186.5134920004856</v>
      </c>
      <c r="CB24" s="63"/>
      <c r="CC24" s="138">
        <f>MOD(CC9-CC17,360)</f>
        <v>185.89426962153487</v>
      </c>
    </row>
    <row r="25" spans="1:81" x14ac:dyDescent="0.3">
      <c r="A25" t="s">
        <v>36</v>
      </c>
      <c r="B25" s="117">
        <f>STDEV(B24:E24)</f>
        <v>1.382932046897797</v>
      </c>
      <c r="C25" s="118">
        <f>AVERAGE(B24:E24)</f>
        <v>171.94036960285979</v>
      </c>
      <c r="D25" s="63"/>
      <c r="E25" s="63"/>
      <c r="F25" s="118">
        <f>STDEV(F24:K24)</f>
        <v>5.8828086293966004</v>
      </c>
      <c r="G25" s="118">
        <f>AVERAGE(F24:K24)</f>
        <v>279.61580097792012</v>
      </c>
      <c r="H25" s="63"/>
      <c r="I25" s="63"/>
      <c r="J25" s="117"/>
      <c r="K25" s="118"/>
      <c r="L25" s="118">
        <f>STDEV(O24:S24,AI24:AK24)</f>
        <v>11.095775854102788</v>
      </c>
      <c r="M25" s="118">
        <f>AVERAGE(O24:S24,AI24:AK24)</f>
        <v>178.63639825688824</v>
      </c>
      <c r="N25" s="118"/>
      <c r="O25" s="128"/>
      <c r="P25" s="117"/>
      <c r="Q25" s="118"/>
      <c r="R25" s="73"/>
      <c r="S25" s="74"/>
      <c r="T25" s="179"/>
      <c r="U25" s="179"/>
      <c r="V25" s="63"/>
      <c r="W25" s="64"/>
      <c r="X25" s="179"/>
      <c r="Y25" s="179"/>
      <c r="Z25" s="63"/>
      <c r="AA25" s="64"/>
      <c r="AB25" s="179"/>
      <c r="AC25" s="179"/>
      <c r="AD25" s="63"/>
      <c r="AE25" s="63"/>
      <c r="AF25" s="117"/>
      <c r="AL25" s="117"/>
      <c r="AM25" s="118"/>
      <c r="AN25" s="118"/>
      <c r="AO25" s="128"/>
      <c r="AP25" s="63"/>
      <c r="AQ25" s="64"/>
      <c r="AR25" s="194"/>
      <c r="AS25" s="195"/>
      <c r="AT25" s="63"/>
      <c r="AU25" s="64"/>
      <c r="AV25" s="194"/>
      <c r="AW25" s="195"/>
      <c r="AX25" s="216"/>
      <c r="AY25" s="217"/>
      <c r="AZ25" s="63"/>
      <c r="BA25" s="63"/>
      <c r="BB25" s="217"/>
      <c r="BC25" s="235"/>
      <c r="BD25" s="216"/>
      <c r="BE25" s="217"/>
      <c r="BF25" s="63"/>
      <c r="BG25" s="63"/>
      <c r="BH25" s="217"/>
      <c r="BI25" s="217"/>
      <c r="BJ25" s="216"/>
      <c r="BK25" s="217"/>
      <c r="BL25" s="217"/>
      <c r="BM25" s="217"/>
      <c r="BN25" s="63"/>
      <c r="BO25" s="64"/>
      <c r="BP25" s="217"/>
      <c r="BQ25" s="217"/>
      <c r="BR25" s="217"/>
      <c r="BS25" s="217"/>
      <c r="BT25" s="63"/>
      <c r="BU25" s="64"/>
      <c r="BV25" s="216"/>
      <c r="BW25" s="217"/>
      <c r="BX25" s="63"/>
      <c r="BY25" s="63"/>
      <c r="BZ25" s="216"/>
      <c r="CA25" s="217"/>
      <c r="CB25" s="63"/>
      <c r="CC25" s="64"/>
    </row>
    <row r="26" spans="1:81" x14ac:dyDescent="0.3">
      <c r="A26" t="s">
        <v>35</v>
      </c>
      <c r="B26" s="117"/>
      <c r="C26" s="118">
        <f>C24-$C25</f>
        <v>-0.9778806282816106</v>
      </c>
      <c r="D26" s="63"/>
      <c r="E26" s="63">
        <f>E24-$C25</f>
        <v>0.97788062828163902</v>
      </c>
      <c r="F26" s="118"/>
      <c r="G26" s="118">
        <f>G24-$C25</f>
        <v>102.46498702854876</v>
      </c>
      <c r="H26" s="63"/>
      <c r="I26" s="118">
        <f>I24-$C25</f>
        <v>106.50628079856921</v>
      </c>
      <c r="J26" s="117"/>
      <c r="K26" s="118">
        <f>K24-$C25</f>
        <v>114.05502629806307</v>
      </c>
      <c r="L26" s="118"/>
      <c r="M26" s="118">
        <f>M24-$C25</f>
        <v>16.239732751296174</v>
      </c>
      <c r="N26" s="118"/>
      <c r="O26" s="128">
        <f>O24-$C25</f>
        <v>13.584313901268587</v>
      </c>
      <c r="P26" s="117"/>
      <c r="Q26" s="118">
        <f>Q24-$C25</f>
        <v>10.341041418460406</v>
      </c>
      <c r="R26" s="73"/>
      <c r="S26" s="74">
        <f>S24-$C25</f>
        <v>19.4072251710285</v>
      </c>
      <c r="T26" s="179"/>
      <c r="U26" s="179">
        <f>U24-$C25</f>
        <v>104.67498702854874</v>
      </c>
      <c r="V26" s="63"/>
      <c r="W26" s="128">
        <f>W24-$C25</f>
        <v>105.17336360725261</v>
      </c>
      <c r="X26" s="179"/>
      <c r="Y26" s="179">
        <f>Y24-$C25</f>
        <v>48.824234496217343</v>
      </c>
      <c r="Z26" s="63"/>
      <c r="AA26" s="128">
        <f>AA24-$C25</f>
        <v>107.35595853695685</v>
      </c>
      <c r="AB26" s="179"/>
      <c r="AC26" s="179">
        <f>AC24-$C25</f>
        <v>-159.86611216875485</v>
      </c>
      <c r="AD26" s="63"/>
      <c r="AE26" s="118">
        <f>AE24-$C25</f>
        <v>-6.336959134173469</v>
      </c>
      <c r="AF26" s="117"/>
      <c r="AG26" s="118">
        <f>AG24-$C25</f>
        <v>-5.744124096208111</v>
      </c>
      <c r="AI26" s="118">
        <f>AI24-$C25</f>
        <v>-4.8901930831220852</v>
      </c>
      <c r="AK26" s="118">
        <f>AK24-$C25</f>
        <v>-4.9622441374930304</v>
      </c>
      <c r="AL26" s="117"/>
      <c r="AM26" s="118">
        <f>AM24-$C25</f>
        <v>105.29338692921374</v>
      </c>
      <c r="AN26" s="118"/>
      <c r="AO26" s="128">
        <f>AO24-$C25</f>
        <v>98.1044237087944</v>
      </c>
      <c r="AP26" s="63"/>
      <c r="AQ26" s="128">
        <f>AQ24-$C25</f>
        <v>107.32086133212948</v>
      </c>
      <c r="AR26" s="194"/>
      <c r="AS26" s="195">
        <f>AS24-$C25</f>
        <v>130.80887463113385</v>
      </c>
      <c r="AT26" s="63"/>
      <c r="AU26" s="128">
        <f>AU24-$C25</f>
        <v>12.589447146882975</v>
      </c>
      <c r="AV26" s="194"/>
      <c r="AW26" s="195">
        <f>AW24-$C25</f>
        <v>35.419562871160423</v>
      </c>
      <c r="AX26" s="216"/>
      <c r="AY26" s="217">
        <f>AY24-$C25</f>
        <v>13.020857516164938</v>
      </c>
      <c r="AZ26" s="63"/>
      <c r="BA26" s="118">
        <f>BA24-$C25</f>
        <v>107.08359730251908</v>
      </c>
      <c r="BB26" s="217"/>
      <c r="BC26" s="235">
        <f>BC24-$C25</f>
        <v>110.53040352465121</v>
      </c>
      <c r="BD26" s="216"/>
      <c r="BE26" s="217">
        <f>BE24-$C25</f>
        <v>111.05209024548401</v>
      </c>
      <c r="BF26" s="63"/>
      <c r="BG26" s="118">
        <f>BG24-$C25</f>
        <v>11.15607488529136</v>
      </c>
      <c r="BH26" s="217"/>
      <c r="BI26" s="217">
        <f>BI24-$C25</f>
        <v>15.269697923119963</v>
      </c>
      <c r="BJ26" s="216"/>
      <c r="BK26" s="217">
        <f>BK24-$C25</f>
        <v>9.61959556896403</v>
      </c>
      <c r="BL26" s="217"/>
      <c r="BM26" s="217">
        <f>BM24-$C25</f>
        <v>9.7436028772746113</v>
      </c>
      <c r="BN26" s="63"/>
      <c r="BO26" s="128">
        <f>BO24-$C25</f>
        <v>11.078081218445845</v>
      </c>
      <c r="BP26" s="217"/>
      <c r="BQ26" s="217">
        <f>BQ24-$C25</f>
        <v>115.48329602214284</v>
      </c>
      <c r="BR26" s="217"/>
      <c r="BS26" s="217">
        <f>BS24-$C25</f>
        <v>112.80579265969544</v>
      </c>
      <c r="BT26" s="63"/>
      <c r="BU26" s="128">
        <f>BU24-$C25</f>
        <v>113.94434770860823</v>
      </c>
      <c r="BV26" s="216"/>
      <c r="BW26" s="217">
        <f>BW24-$C25</f>
        <v>113.92255902150362</v>
      </c>
      <c r="BX26" s="63"/>
      <c r="BY26" s="118">
        <f>BY24-$C25</f>
        <v>112.22370894860143</v>
      </c>
      <c r="BZ26" s="216"/>
      <c r="CA26" s="217">
        <f>CA24-$C25</f>
        <v>14.573122397625809</v>
      </c>
      <c r="CB26" s="63"/>
      <c r="CC26" s="128">
        <f>CC24-$C25</f>
        <v>13.953900018675085</v>
      </c>
    </row>
    <row r="27" spans="1:81" x14ac:dyDescent="0.3">
      <c r="A27" t="s">
        <v>67</v>
      </c>
      <c r="B27" s="117"/>
      <c r="C27" s="118">
        <f>SQRT(C16)</f>
        <v>1.3038404810405297</v>
      </c>
      <c r="D27" s="63"/>
      <c r="E27" s="63">
        <f>SQRT(E16)</f>
        <v>8.6684303831062852</v>
      </c>
      <c r="F27" s="118"/>
      <c r="G27" s="118">
        <f>SQRT(G16)</f>
        <v>1.3038404810405297</v>
      </c>
      <c r="H27" s="63"/>
      <c r="I27" s="63">
        <f>SQRT(I16)</f>
        <v>8.6684303831062852</v>
      </c>
      <c r="J27" s="117"/>
      <c r="K27" s="118">
        <f>SQRT(K16)</f>
        <v>1.1238327277669038</v>
      </c>
      <c r="L27" s="118"/>
      <c r="M27" s="118">
        <f>SQRT(M16)</f>
        <v>1.1238327277669038</v>
      </c>
      <c r="N27" s="118"/>
      <c r="O27" s="128">
        <f>SQRT(O16)</f>
        <v>8.6487656722727948</v>
      </c>
      <c r="P27" s="117"/>
      <c r="Q27" s="118">
        <f>SQRT(Q16)</f>
        <v>3.082207001484488</v>
      </c>
      <c r="R27" s="73"/>
      <c r="S27" s="74">
        <f>SQRT(S16)</f>
        <v>1.4933184523068079</v>
      </c>
      <c r="T27" s="179"/>
      <c r="U27" s="179">
        <f>SQRT(U16)</f>
        <v>1.4933184523068079</v>
      </c>
      <c r="V27" s="63"/>
      <c r="W27" s="64">
        <f>SQRT(W16)</f>
        <v>8.6696472070402173</v>
      </c>
      <c r="X27" s="179"/>
      <c r="Y27" s="179">
        <f>SQRT(Y16)</f>
        <v>2.5828279075463003</v>
      </c>
      <c r="Z27" s="63"/>
      <c r="AA27" s="64">
        <f>SQRT(AA16)</f>
        <v>8.4868583760698364</v>
      </c>
      <c r="AB27" s="179"/>
      <c r="AC27" s="179">
        <f>SQRT(AC16)</f>
        <v>1.4949916387726052</v>
      </c>
      <c r="AD27" s="63"/>
      <c r="AE27" s="63">
        <f>SQRT(AE16)</f>
        <v>8.4868583760698364</v>
      </c>
      <c r="AF27" s="117"/>
      <c r="AG27" s="118">
        <f>SQRT(AG16)</f>
        <v>2.4324884377936926</v>
      </c>
      <c r="AI27" s="118">
        <f>SQRT(AI16)</f>
        <v>1.0134100848126586</v>
      </c>
      <c r="AK27" s="63">
        <f>SQRT(AK16)</f>
        <v>8.4656234578960952</v>
      </c>
      <c r="AL27" s="117"/>
      <c r="AM27" s="118">
        <f>SQRT(AM16)</f>
        <v>2.4324884377936926</v>
      </c>
      <c r="AN27" s="118"/>
      <c r="AO27" s="128">
        <f>SQRT(AO16)</f>
        <v>1.0134100848126586</v>
      </c>
      <c r="AP27" s="63"/>
      <c r="AQ27" s="64">
        <f>SQRT(AQ16)</f>
        <v>8.3353508926949491</v>
      </c>
      <c r="AR27" s="194"/>
      <c r="AS27" s="195">
        <f>SQRT(AS16)</f>
        <v>1.2645157175772865</v>
      </c>
      <c r="AT27" s="63"/>
      <c r="AU27" s="64">
        <f>SQRT(AU16)</f>
        <v>8.3353508926949491</v>
      </c>
      <c r="AV27" s="194"/>
      <c r="AW27" s="195">
        <f>SQRT(AW16)</f>
        <v>1.2645157175772865</v>
      </c>
      <c r="AX27" s="216"/>
      <c r="AY27" s="217">
        <f>SQRT(AY16)</f>
        <v>2.3672769166280485</v>
      </c>
      <c r="AZ27" s="63"/>
      <c r="BA27" s="63">
        <f>SQRT(BA16)</f>
        <v>8.3509269612370947</v>
      </c>
      <c r="BB27" s="217"/>
      <c r="BC27" s="235">
        <f>SQRT(BC16)</f>
        <v>2.3672769166280485</v>
      </c>
      <c r="BD27" s="216"/>
      <c r="BE27" s="217">
        <f>SQRT(BE16)</f>
        <v>1.6985287751463027</v>
      </c>
      <c r="BF27" s="63"/>
      <c r="BG27" s="63">
        <f>SQRT(BG16)</f>
        <v>8.6449142489709896</v>
      </c>
      <c r="BH27" s="217"/>
      <c r="BI27" s="217">
        <f>SQRT(BI16)</f>
        <v>1.6985287751463027</v>
      </c>
      <c r="BJ27" s="216"/>
      <c r="BK27" s="217">
        <f>SQRT(BK16)</f>
        <v>1.3682105101189657</v>
      </c>
      <c r="BL27" s="217"/>
      <c r="BM27" s="217">
        <f>SQRT(BM16)</f>
        <v>2.9325756597230361</v>
      </c>
      <c r="BN27" s="63"/>
      <c r="BO27" s="64">
        <f>SQRT(BO16)</f>
        <v>7.8215991667804774</v>
      </c>
      <c r="BP27" s="217"/>
      <c r="BQ27" s="217">
        <f>SQRT(BQ16)</f>
        <v>1.3682105101189657</v>
      </c>
      <c r="BR27" s="217"/>
      <c r="BS27" s="217">
        <f>SQRT(BS16)</f>
        <v>2.9325756597230361</v>
      </c>
      <c r="BT27" s="63"/>
      <c r="BU27" s="64">
        <f>SQRT(BU16)</f>
        <v>7.8215991667804774</v>
      </c>
      <c r="BV27" s="216"/>
      <c r="BW27" s="217">
        <f>SQRT(BW16)</f>
        <v>2.1421951358361357</v>
      </c>
      <c r="BX27" s="63"/>
      <c r="BY27" s="63">
        <f>SQRT(BY16)</f>
        <v>7.9909979543785763</v>
      </c>
      <c r="BZ27" s="216"/>
      <c r="CA27" s="217">
        <f>SQRT(CA16)</f>
        <v>2.1421951358361357</v>
      </c>
      <c r="CB27" s="63"/>
      <c r="CC27" s="64">
        <f>SQRT(CC16)</f>
        <v>7.9909979543785763</v>
      </c>
    </row>
    <row r="28" spans="1:81" x14ac:dyDescent="0.3">
      <c r="A28" s="10" t="s">
        <v>68</v>
      </c>
      <c r="B28" s="117"/>
      <c r="C28" s="118">
        <f>C27*C21</f>
        <v>0.1591374948528512</v>
      </c>
      <c r="D28" s="63"/>
      <c r="E28" s="118">
        <f>E27*E21</f>
        <v>0.99139786338981395</v>
      </c>
      <c r="F28" s="118"/>
      <c r="G28" s="118">
        <f>G27*G21</f>
        <v>0.14647234712264195</v>
      </c>
      <c r="H28" s="63"/>
      <c r="I28" s="118">
        <f>I27*I21</f>
        <v>1.0178439218336657</v>
      </c>
      <c r="J28" s="117"/>
      <c r="K28" s="118">
        <f>K27*K21</f>
        <v>0.13786438670897391</v>
      </c>
      <c r="L28" s="118"/>
      <c r="M28" s="118">
        <f>M27*M21</f>
        <v>0.14194007351695995</v>
      </c>
      <c r="N28" s="118"/>
      <c r="O28" s="128">
        <f>O27*O21</f>
        <v>1.0045748099000997</v>
      </c>
      <c r="P28" s="117"/>
      <c r="Q28" s="118">
        <f>Q27*Q21</f>
        <v>0.32412588755219374</v>
      </c>
      <c r="R28" s="73"/>
      <c r="S28" s="74">
        <f>S27*S21</f>
        <v>0.16629726560779171</v>
      </c>
      <c r="T28" s="179"/>
      <c r="U28" s="179">
        <f>U27*U21</f>
        <v>0.22005921196023345</v>
      </c>
      <c r="V28" s="63"/>
      <c r="W28" s="128">
        <f>W27*W21</f>
        <v>1.0345899343332039</v>
      </c>
      <c r="X28" s="179"/>
      <c r="Y28" s="179">
        <f>Y27*Y21</f>
        <v>0.27892165147244358</v>
      </c>
      <c r="Z28" s="63"/>
      <c r="AA28" s="128">
        <f>AA27*AA21</f>
        <v>0.89769707433324519</v>
      </c>
      <c r="AB28" s="179"/>
      <c r="AC28" s="179">
        <f>AC27*AC21</f>
        <v>6.5465490682110675E-2</v>
      </c>
      <c r="AD28" s="63"/>
      <c r="AE28" s="118">
        <f>AE27*AE21</f>
        <v>0.93241808997413267</v>
      </c>
      <c r="AF28" s="117"/>
      <c r="AG28" s="118">
        <f>AG27*AG21</f>
        <v>0.25062652252728085</v>
      </c>
      <c r="AI28" s="118">
        <f>AI27*AI21</f>
        <v>0.11032162800984026</v>
      </c>
      <c r="AK28" s="118">
        <f>AK27*AK21</f>
        <v>0.96270691607739789</v>
      </c>
      <c r="AL28" s="117"/>
      <c r="AM28" s="118">
        <f>AM27*AM21</f>
        <v>0.24934453702288578</v>
      </c>
      <c r="AN28" s="118"/>
      <c r="AO28" s="128">
        <f>AO27*AO21</f>
        <v>0.10513386427962849</v>
      </c>
      <c r="AP28" s="63"/>
      <c r="AQ28" s="128">
        <f>AQ27*AQ21</f>
        <v>0.95104019013495289</v>
      </c>
      <c r="AR28" s="194"/>
      <c r="AS28" s="195">
        <f>AS27*AS21</f>
        <v>0.19366870414009268</v>
      </c>
      <c r="AT28" s="63"/>
      <c r="AU28" s="128">
        <f>AU27*AU21</f>
        <v>1.0163999296154891</v>
      </c>
      <c r="AV28" s="194"/>
      <c r="AW28" s="195">
        <f>AW27*AW21</f>
        <v>0.19826955231451954</v>
      </c>
      <c r="AX28" s="216"/>
      <c r="AY28" s="217">
        <f>AY27*AY21</f>
        <v>0.28219612965909036</v>
      </c>
      <c r="AZ28" s="63"/>
      <c r="BA28" s="118">
        <f>BA27*BA21</f>
        <v>1.0037846472524377</v>
      </c>
      <c r="BB28" s="217"/>
      <c r="BC28" s="235">
        <f>BC27*BC21</f>
        <v>0.25957364977394731</v>
      </c>
      <c r="BD28" s="216"/>
      <c r="BE28" s="217">
        <f>BE27*BE21</f>
        <v>0.22250914089876206</v>
      </c>
      <c r="BF28" s="63"/>
      <c r="BG28" s="118">
        <f>BG27*BG21</f>
        <v>0.9971104456193558</v>
      </c>
      <c r="BH28" s="217"/>
      <c r="BI28" s="217">
        <f>BI27*BI21</f>
        <v>0.22651439137031276</v>
      </c>
      <c r="BJ28" s="216"/>
      <c r="BK28" s="217">
        <f>BK27*BK21</f>
        <v>0.14207481071604497</v>
      </c>
      <c r="BL28" s="217"/>
      <c r="BM28" s="217">
        <f>BM27*BM21</f>
        <v>0.33552389361391349</v>
      </c>
      <c r="BN28" s="63"/>
      <c r="BO28" s="128">
        <f>BO27*BO21</f>
        <v>0.89988953405118666</v>
      </c>
      <c r="BP28" s="217"/>
      <c r="BQ28" s="217">
        <f>BQ27*BQ21</f>
        <v>0.15976888522119978</v>
      </c>
      <c r="BR28" s="217"/>
      <c r="BS28" s="217">
        <f>BS27*BS21</f>
        <v>0.33896092499065467</v>
      </c>
      <c r="BT28" s="63"/>
      <c r="BU28" s="128">
        <f>BU27*BU21</f>
        <v>0.9223109699602563</v>
      </c>
      <c r="BV28" s="216"/>
      <c r="BW28" s="217">
        <f>BW27*BW21</f>
        <v>0.25467361461131904</v>
      </c>
      <c r="BX28" s="63"/>
      <c r="BY28" s="118">
        <f>BY27*BY21</f>
        <v>0.93882486110080465</v>
      </c>
      <c r="BZ28" s="216"/>
      <c r="CA28" s="217">
        <f>CA27*CA21</f>
        <v>0.25264700191234657</v>
      </c>
      <c r="CB28" s="63"/>
      <c r="CC28" s="128">
        <f>CC27*CC21</f>
        <v>1.0274813410901671</v>
      </c>
    </row>
    <row r="29" spans="1:81" x14ac:dyDescent="0.3">
      <c r="A29" s="7" t="s">
        <v>69</v>
      </c>
      <c r="B29" s="117"/>
      <c r="C29" s="139">
        <f>SUM(C28:S28,W28,AA28,AE28:AQ28,AU28,AY28:CC28)/SUM(C27:S27,W27,AA27,AE27:AQ27,AU27,AY27:CC27)</f>
        <v>0.11592313533001913</v>
      </c>
      <c r="D29" s="63"/>
      <c r="E29" s="63"/>
      <c r="F29" s="118"/>
      <c r="G29" s="139"/>
      <c r="H29" s="63"/>
      <c r="I29" s="63"/>
      <c r="J29" s="117"/>
      <c r="K29" s="139">
        <f>SUM(J28:O28)/SUM(J27:O27)</f>
        <v>0.11787155400344118</v>
      </c>
      <c r="L29" s="118"/>
      <c r="M29" s="139"/>
      <c r="N29" s="118"/>
      <c r="O29" s="140"/>
      <c r="P29" s="117"/>
      <c r="Q29" s="139"/>
      <c r="R29" s="73"/>
      <c r="S29" s="74"/>
      <c r="T29" s="179"/>
      <c r="U29" s="179"/>
      <c r="V29" s="63"/>
      <c r="W29" s="64"/>
      <c r="X29" s="179"/>
      <c r="Y29" s="179"/>
      <c r="Z29" s="63"/>
      <c r="AA29" s="64"/>
      <c r="AB29" s="179"/>
      <c r="AC29" s="179"/>
      <c r="AD29" s="63"/>
      <c r="AE29" s="63"/>
      <c r="AF29" s="117"/>
      <c r="AG29" s="139">
        <f>SUM(AF28:AG28)/SUM(AF27:AG27)</f>
        <v>0.10303297587494527</v>
      </c>
      <c r="AI29" s="139"/>
      <c r="AL29" s="117"/>
      <c r="AM29" s="139">
        <f>SUM(AL28:AM28)/SUM(AL27:AM27)</f>
        <v>0.10250594952428445</v>
      </c>
      <c r="AN29" s="118"/>
      <c r="AO29" s="140"/>
      <c r="AP29" s="63"/>
      <c r="AQ29" s="64"/>
      <c r="AR29" s="194"/>
      <c r="AS29" s="205">
        <f>SUM(AR28:AW28)/SUM(AR27:AW27)</f>
        <v>0.1296289235385244</v>
      </c>
      <c r="AT29" s="63"/>
      <c r="AU29" s="64"/>
      <c r="AV29" s="194"/>
      <c r="AW29" s="205">
        <f>SUM(AV28:BA28)/SUM(AV27:BA27)</f>
        <v>0.1238658985052588</v>
      </c>
      <c r="AX29" s="216"/>
      <c r="AY29" s="188">
        <f>SUM(AX28:BC28)/SUM(AX27:BC27)</f>
        <v>0.1181121619417986</v>
      </c>
      <c r="AZ29" s="63"/>
      <c r="BA29" s="63"/>
      <c r="BB29" s="217"/>
      <c r="BC29" s="239">
        <f>SUM(BB28:BG28)/SUM(BB27:BG27)</f>
        <v>0.11637367853180212</v>
      </c>
      <c r="BD29" s="216"/>
      <c r="BE29" s="188">
        <f>SUM(BD28:BI28)/SUM(BD27:BI27)</f>
        <v>0.1200911280972163</v>
      </c>
      <c r="BF29" s="63"/>
      <c r="BG29" s="63"/>
      <c r="BH29" s="217"/>
      <c r="BI29" s="188">
        <f>SUM(BH28:BM28)/SUM(BH27:BM27)</f>
        <v>0.11736558293017635</v>
      </c>
      <c r="BJ29" s="216"/>
      <c r="BK29" s="188">
        <f>SUM(BJ28:BO28)/SUM(BJ27:BO27)</f>
        <v>0.11363178121550613</v>
      </c>
      <c r="BL29" s="217"/>
      <c r="BM29" s="188">
        <f>SUM(BL28:BQ28)/SUM(BL27:BQ27)</f>
        <v>0.11509140108517814</v>
      </c>
      <c r="BN29" s="63"/>
      <c r="BO29" s="64"/>
      <c r="BP29" s="217"/>
      <c r="BQ29" s="188">
        <f>SUM(BP28:BU28)/SUM(BP27:BU27)</f>
        <v>0.11722451817127594</v>
      </c>
      <c r="BR29" s="217"/>
      <c r="BS29" s="188">
        <f>SUM(BR28:BW28)/SUM(BR27:BW27)</f>
        <v>0.11754823364940194</v>
      </c>
      <c r="BT29" s="63"/>
      <c r="BU29" s="64"/>
      <c r="BV29" s="216"/>
      <c r="BW29" s="188">
        <f>SUM(BV28:CA28)/SUM(BV27:CA27)</f>
        <v>0.11780853289474445</v>
      </c>
      <c r="BX29" s="63"/>
      <c r="BY29" s="63"/>
      <c r="BZ29" s="216"/>
      <c r="CA29" s="188">
        <f>SUM(BZ28:CE28)/SUM(BZ27:CE27)</f>
        <v>0.12633020328396694</v>
      </c>
      <c r="CB29" s="63"/>
      <c r="CC29" s="64"/>
    </row>
    <row r="30" spans="1:81" x14ac:dyDescent="0.3">
      <c r="A30" t="s">
        <v>72</v>
      </c>
      <c r="B30" s="117"/>
      <c r="C30" s="139">
        <f>C21-$C$29</f>
        <v>6.1297516349963499E-3</v>
      </c>
      <c r="D30" s="63"/>
      <c r="E30" s="75">
        <f>E21-$C$29</f>
        <v>-1.5543488745233813E-3</v>
      </c>
      <c r="F30" s="118"/>
      <c r="G30" s="139">
        <f>G21-$C29</f>
        <v>-3.5839732526538742E-3</v>
      </c>
      <c r="H30" s="63"/>
      <c r="I30" s="139">
        <f>I21-$C29</f>
        <v>1.4964985424890387E-3</v>
      </c>
      <c r="J30" s="117"/>
      <c r="K30" s="139">
        <f>K21-$C29</f>
        <v>6.7502690857033226E-3</v>
      </c>
      <c r="L30" s="118"/>
      <c r="M30" s="139">
        <f>M21-$C29</f>
        <v>1.0376864669980862E-2</v>
      </c>
      <c r="N30" s="118"/>
      <c r="O30" s="140">
        <f>O21-$C29</f>
        <v>2.2925542334360782E-4</v>
      </c>
      <c r="P30" s="117"/>
      <c r="Q30" s="139">
        <f>Q21-$C29</f>
        <v>-1.0762811122045912E-2</v>
      </c>
      <c r="R30" s="73"/>
      <c r="S30" s="92">
        <f>S21-$C29</f>
        <v>-4.5622495451394657E-3</v>
      </c>
      <c r="T30" s="179"/>
      <c r="U30" s="185">
        <f>U21-$C29</f>
        <v>3.1439412571465875E-2</v>
      </c>
      <c r="V30" s="63"/>
      <c r="W30" s="140">
        <f>W21-$C29</f>
        <v>3.4115860982140145E-3</v>
      </c>
      <c r="X30" s="179"/>
      <c r="Y30" s="185">
        <f>Y21-$C29</f>
        <v>-7.9323355335973178E-3</v>
      </c>
      <c r="Z30" s="63"/>
      <c r="AA30" s="140">
        <f>AA21-$C29</f>
        <v>-1.0148178973441155E-2</v>
      </c>
      <c r="AB30" s="179"/>
      <c r="AC30" s="185">
        <f>AC21-$C29</f>
        <v>-7.213326454796036E-2</v>
      </c>
      <c r="AD30" s="63"/>
      <c r="AE30" s="139">
        <f>AE21-$C29</f>
        <v>-6.0570283848099815E-3</v>
      </c>
      <c r="AF30" s="117"/>
      <c r="AG30" s="139">
        <f>AG21-$C29</f>
        <v>-1.2890159455073852E-2</v>
      </c>
      <c r="AI30" s="139">
        <f>AI21-$C29</f>
        <v>-7.0613530533659707E-3</v>
      </c>
      <c r="AK30" s="139">
        <f>AK21-$C29</f>
        <v>-2.2035822616083833E-3</v>
      </c>
      <c r="AL30" s="117"/>
      <c r="AM30" s="139">
        <f>AM21-$C29</f>
        <v>-1.3417185805734685E-2</v>
      </c>
      <c r="AN30" s="118"/>
      <c r="AO30" s="140">
        <f>AO21-$C29</f>
        <v>-1.2180469004507102E-2</v>
      </c>
      <c r="AP30" s="63"/>
      <c r="AQ30" s="140">
        <f>AQ21-$C29</f>
        <v>-1.8259362584792938E-3</v>
      </c>
      <c r="AR30" s="194"/>
      <c r="AS30" s="205">
        <f>AS21-$C29</f>
        <v>3.7233287676842974E-2</v>
      </c>
      <c r="AT30" s="63"/>
      <c r="AU30" s="140">
        <f>AU21-$C29</f>
        <v>6.0153340517864751E-3</v>
      </c>
      <c r="AV30" s="194"/>
      <c r="AW30" s="205">
        <f>AW21-$C29</f>
        <v>4.0871714712959001E-2</v>
      </c>
      <c r="AX30" s="216"/>
      <c r="AY30" s="188">
        <f>AY21-$C29</f>
        <v>3.2839281431679412E-3</v>
      </c>
      <c r="AZ30" s="63"/>
      <c r="BA30" s="139">
        <f>BA21-$C29</f>
        <v>4.277251035680607E-3</v>
      </c>
      <c r="BB30" s="217"/>
      <c r="BC30" s="239">
        <f>BC21-$C29</f>
        <v>-6.2724020547231252E-3</v>
      </c>
      <c r="BD30" s="216"/>
      <c r="BE30" s="188">
        <f>BE21-$C29</f>
        <v>1.5077966420286054E-2</v>
      </c>
      <c r="BF30" s="63"/>
      <c r="BG30" s="139">
        <f>BG21-$C29</f>
        <v>-5.8243709949098998E-4</v>
      </c>
      <c r="BH30" s="217"/>
      <c r="BI30" s="188">
        <f>BI21-$C29</f>
        <v>1.7436036845796338E-2</v>
      </c>
      <c r="BJ30" s="216"/>
      <c r="BK30" s="188">
        <f>BK21-$C29</f>
        <v>-1.2083258596656238E-2</v>
      </c>
      <c r="BL30" s="217"/>
      <c r="BM30" s="188">
        <f>BM21-$C29</f>
        <v>-1.51043722912797E-3</v>
      </c>
      <c r="BN30" s="63"/>
      <c r="BO30" s="140">
        <f>BO21-$C29</f>
        <v>-8.7127510773178651E-4</v>
      </c>
      <c r="BP30" s="217"/>
      <c r="BQ30" s="188">
        <f>BQ21-$C29</f>
        <v>8.4901635247883189E-4</v>
      </c>
      <c r="BR30" s="217"/>
      <c r="BS30" s="188">
        <f>BS21-$C29</f>
        <v>-3.3841925736802225E-4</v>
      </c>
      <c r="BT30" s="63"/>
      <c r="BU30" s="140">
        <f>BU21-$C29</f>
        <v>1.9953299727608204E-3</v>
      </c>
      <c r="BV30" s="216"/>
      <c r="BW30" s="188">
        <f>BW21-$C29</f>
        <v>2.9612792365910773E-3</v>
      </c>
      <c r="BX30" s="63"/>
      <c r="BY30" s="139">
        <f>BY21-$C29</f>
        <v>1.5621733211220318E-3</v>
      </c>
      <c r="BZ30" s="216"/>
      <c r="CA30" s="188">
        <f>CA21-$C29</f>
        <v>2.0152343758452484E-3</v>
      </c>
      <c r="CB30" s="63"/>
      <c r="CC30" s="140">
        <f>CC21-$C29</f>
        <v>1.2656717518919502E-2</v>
      </c>
    </row>
    <row r="31" spans="1:81" x14ac:dyDescent="0.3">
      <c r="A31" s="10" t="s">
        <v>119</v>
      </c>
      <c r="B31" s="117"/>
      <c r="C31" s="118">
        <f>C27*C24</f>
        <v>222.90781386450027</v>
      </c>
      <c r="D31" s="63"/>
      <c r="E31" s="63">
        <f>E27*E24</f>
        <v>1498.9298140972019</v>
      </c>
      <c r="F31" s="118"/>
      <c r="G31" s="118">
        <f>G27*G24</f>
        <v>357.78081219039382</v>
      </c>
      <c r="H31" s="63"/>
      <c r="I31" s="63">
        <f>I27*I24</f>
        <v>2413.6954044139211</v>
      </c>
      <c r="J31" s="117"/>
      <c r="K31" s="118">
        <f>K27*K24</f>
        <v>321.41098590410974</v>
      </c>
      <c r="L31" s="118"/>
      <c r="M31" s="118">
        <f>M27*M24</f>
        <v>211.48295774012624</v>
      </c>
      <c r="N31" s="118"/>
      <c r="O31" s="128">
        <f>O27*O24</f>
        <v>1604.5595140497803</v>
      </c>
      <c r="P31" s="117"/>
      <c r="Q31" s="118">
        <f>Q27*Q24</f>
        <v>561.82904129038479</v>
      </c>
      <c r="R31" s="73"/>
      <c r="S31" s="74">
        <f>S27*S24</f>
        <v>285.74289408037311</v>
      </c>
      <c r="T31" s="179"/>
      <c r="U31" s="179">
        <f>U27*U24</f>
        <v>413.07481624911071</v>
      </c>
      <c r="V31" s="63"/>
      <c r="W31" s="64">
        <f>W27*W24</f>
        <v>2402.4783031575389</v>
      </c>
      <c r="X31" s="179"/>
      <c r="Y31" s="179">
        <f>Y27*Y24</f>
        <v>570.19698046550684</v>
      </c>
      <c r="Z31" s="63"/>
      <c r="AA31" s="64">
        <f>AA27*AA24</f>
        <v>2370.3483818789523</v>
      </c>
      <c r="AB31" s="179"/>
      <c r="AC31" s="179">
        <f>AC27*AC24</f>
        <v>18.050913908374849</v>
      </c>
      <c r="AD31" s="63"/>
      <c r="AE31" s="63">
        <f>AE27*AE24</f>
        <v>1405.4526912419017</v>
      </c>
      <c r="AF31" s="117"/>
      <c r="AG31" s="118">
        <f>AG27*AG24</f>
        <v>404.27044559965213</v>
      </c>
      <c r="AI31" s="118">
        <f>AI27*AI24</f>
        <v>169.29033355483696</v>
      </c>
      <c r="AK31" s="63">
        <f>AK27*AK24</f>
        <v>1413.5739358951262</v>
      </c>
      <c r="AL31" s="117"/>
      <c r="AM31" s="118">
        <f>AM27*AM24</f>
        <v>674.36790733038049</v>
      </c>
      <c r="AN31" s="118"/>
      <c r="AO31" s="128">
        <f>AO27*AO24</f>
        <v>273.66611689318034</v>
      </c>
      <c r="AP31" s="63"/>
      <c r="AQ31" s="64">
        <f>AQ27*AQ24</f>
        <v>2327.7403505690531</v>
      </c>
      <c r="AR31" s="194"/>
      <c r="AS31" s="195">
        <f>AS27*AS24</f>
        <v>382.83117781852962</v>
      </c>
      <c r="AT31" s="63"/>
      <c r="AU31" s="64">
        <f>AU27*AU24</f>
        <v>1538.1207727738038</v>
      </c>
      <c r="AV31" s="194"/>
      <c r="AW31" s="195">
        <f>AW27*AW24</f>
        <v>262.20989380916336</v>
      </c>
      <c r="AX31" s="216"/>
      <c r="AY31" s="217">
        <f>AY27*AY24</f>
        <v>437.85444343006503</v>
      </c>
      <c r="AZ31" s="63"/>
      <c r="BA31" s="63">
        <f>BA27*BA24</f>
        <v>2330.1087680614551</v>
      </c>
      <c r="BB31" s="217"/>
      <c r="BC31" s="235">
        <f>BC27*BC24</f>
        <v>668.68654084683521</v>
      </c>
      <c r="BD31" s="216"/>
      <c r="BE31" s="217">
        <f>BE27*BE24</f>
        <v>480.67083620184667</v>
      </c>
      <c r="BF31" s="63"/>
      <c r="BG31" s="63">
        <f>BG27*BG24</f>
        <v>1582.8530618915436</v>
      </c>
      <c r="BH31" s="217"/>
      <c r="BI31" s="217">
        <f>BI27*BI24</f>
        <v>317.98168668995902</v>
      </c>
      <c r="BJ31" s="216"/>
      <c r="BK31" s="217">
        <f>BK27*BK24</f>
        <v>248.41225256492271</v>
      </c>
      <c r="BL31" s="217"/>
      <c r="BM31" s="217">
        <f>BM27*BM24</f>
        <v>532.80199545703204</v>
      </c>
      <c r="BN31" s="63"/>
      <c r="BO31" s="64">
        <f>BO27*BO24</f>
        <v>1431.4969624493779</v>
      </c>
      <c r="BP31" s="217"/>
      <c r="BQ31" s="217">
        <f>BQ27*BQ24</f>
        <v>393.25608016504788</v>
      </c>
      <c r="BR31" s="217"/>
      <c r="BS31" s="217">
        <f>BS27*BS24</f>
        <v>835.03966465071562</v>
      </c>
      <c r="BT31" s="63"/>
      <c r="BU31" s="64">
        <f>BU27*BU24</f>
        <v>2236.0756667186506</v>
      </c>
      <c r="BV31" s="216"/>
      <c r="BW31" s="217">
        <f>BW27*BW24</f>
        <v>612.37417521498378</v>
      </c>
      <c r="BX31" s="63"/>
      <c r="BY31" s="63">
        <f>BY27*BY24</f>
        <v>2270.7545704125996</v>
      </c>
      <c r="BZ31" s="216"/>
      <c r="CA31" s="217">
        <f>CA27*CA24</f>
        <v>399.54829533125229</v>
      </c>
      <c r="CB31" s="63"/>
      <c r="CC31" s="64">
        <f>CC27*CC24</f>
        <v>1485.4807282763848</v>
      </c>
    </row>
    <row r="32" spans="1:81" x14ac:dyDescent="0.3">
      <c r="A32" t="s">
        <v>120</v>
      </c>
      <c r="B32" s="117"/>
      <c r="C32" s="139">
        <f>MOD(SUM(B31:E31)/SUM(B27:E27),360)</f>
        <v>172.66254110206776</v>
      </c>
      <c r="D32" s="63"/>
      <c r="E32" s="63"/>
      <c r="F32" s="118"/>
      <c r="G32" s="139">
        <f>SUM(F31:K31)/SUM(F27:K27)</f>
        <v>278.73633090108899</v>
      </c>
      <c r="H32" s="63"/>
      <c r="I32" s="63"/>
      <c r="J32" s="117"/>
      <c r="K32" s="139"/>
      <c r="L32" s="118"/>
      <c r="M32" s="139">
        <f>SUM(M31:S31)/SUM(M27:S27)</f>
        <v>185.64199990854351</v>
      </c>
      <c r="N32" s="118"/>
      <c r="O32" s="140"/>
      <c r="P32" s="117"/>
      <c r="Q32" s="139"/>
      <c r="R32" s="73"/>
      <c r="S32" s="74"/>
      <c r="T32" s="179"/>
      <c r="U32" s="188">
        <f>SUM(W31,AA31)/SUM(W27,AA27)</f>
        <v>278.1934037742023</v>
      </c>
      <c r="V32" s="63"/>
      <c r="W32" s="64"/>
      <c r="X32" s="179"/>
      <c r="Y32" s="130"/>
      <c r="Z32" s="63"/>
      <c r="AA32" s="64"/>
      <c r="AB32" s="179"/>
      <c r="AC32" s="130"/>
      <c r="AD32" s="63"/>
      <c r="AE32" s="139">
        <f>SUM(AD31:AK31)/SUM(AD27:AK27)</f>
        <v>166.31650881038885</v>
      </c>
      <c r="AF32" s="117"/>
      <c r="AG32" s="139"/>
      <c r="AI32" s="139"/>
      <c r="AL32" s="117"/>
      <c r="AM32" s="139">
        <f>SUM(AL31:AQ31)/SUM(AL27:AQ27)</f>
        <v>278.04982810550558</v>
      </c>
      <c r="AN32" s="118"/>
      <c r="AO32" s="140"/>
      <c r="AP32" s="63"/>
      <c r="AQ32" s="64"/>
      <c r="AR32" s="194"/>
      <c r="AS32" s="205"/>
      <c r="AT32" s="63"/>
      <c r="AU32" s="139">
        <f>SUM(AU31,AY31)/SUM(AU27,AY27)</f>
        <v>184.62523890465556</v>
      </c>
      <c r="AV32" s="194"/>
      <c r="AW32" s="205"/>
      <c r="AX32" s="216"/>
      <c r="AY32" s="188"/>
      <c r="AZ32" s="63"/>
      <c r="BA32" s="139">
        <f>SUM(BA31:BC31)/SUM(BA27:BC27)</f>
        <v>279.78524602441053</v>
      </c>
      <c r="BB32" s="217"/>
      <c r="BC32" s="239"/>
      <c r="BD32" s="216"/>
      <c r="BE32" s="188"/>
      <c r="BF32" s="63"/>
      <c r="BG32" s="139">
        <f>SUM(BG31:BO31)/SUM(BG27:BO27)</f>
        <v>183.10234962185839</v>
      </c>
      <c r="BH32" s="217"/>
      <c r="BI32" s="188"/>
      <c r="BJ32" s="216"/>
      <c r="BK32" s="188"/>
      <c r="BL32" s="217"/>
      <c r="BM32" s="188"/>
      <c r="BN32" s="63"/>
      <c r="BO32" s="140"/>
      <c r="BP32" s="217"/>
      <c r="BQ32" s="139">
        <f>SUM(BQ31:BY31)/SUM(BQ27:BY27)</f>
        <v>285.20939943343728</v>
      </c>
      <c r="BR32" s="217"/>
      <c r="BS32" s="188"/>
      <c r="BT32" s="63"/>
      <c r="BU32" s="64"/>
      <c r="BV32" s="216"/>
      <c r="BW32" s="188"/>
      <c r="BX32" s="63"/>
      <c r="BZ32" s="216"/>
      <c r="CA32" s="139">
        <f>SUM(CA31:CC31)/SUM(CA27:CC27)</f>
        <v>186.02517556168419</v>
      </c>
      <c r="CB32" s="63"/>
      <c r="CC32" s="140"/>
    </row>
    <row r="33" spans="1:81" x14ac:dyDescent="0.3">
      <c r="A33" t="s">
        <v>121</v>
      </c>
      <c r="B33" s="117"/>
      <c r="C33" s="139">
        <f>C24-$C$32</f>
        <v>-1.7000521274895846</v>
      </c>
      <c r="D33" s="63"/>
      <c r="E33" s="75">
        <f>E24-$C$32</f>
        <v>0.25570912907366505</v>
      </c>
      <c r="F33" s="118"/>
      <c r="G33" s="139">
        <f>G24-$G32</f>
        <v>-4.3309742696804392</v>
      </c>
      <c r="H33" s="63"/>
      <c r="I33" s="139">
        <f>I24-$G32</f>
        <v>-0.28968049965999398</v>
      </c>
      <c r="J33" s="117"/>
      <c r="K33" s="139">
        <f>K24-$G32</f>
        <v>7.2590649998338677</v>
      </c>
      <c r="L33" s="118"/>
      <c r="M33" s="139">
        <f>M24-$C32</f>
        <v>15.5175612520882</v>
      </c>
      <c r="N33" s="118"/>
      <c r="O33" s="140">
        <f>O24-$C32</f>
        <v>12.862142402060613</v>
      </c>
      <c r="P33" s="117"/>
      <c r="Q33" s="139">
        <f>Q24-$C32</f>
        <v>9.6188699192524325</v>
      </c>
      <c r="R33" s="73"/>
      <c r="S33" s="92">
        <f>S24-$C32</f>
        <v>18.685053671820526</v>
      </c>
      <c r="T33" s="179"/>
      <c r="U33" s="185">
        <f>U24-$C32</f>
        <v>103.95281552934077</v>
      </c>
      <c r="V33" s="63"/>
      <c r="W33" s="140">
        <f>W24-$C32</f>
        <v>104.45119210804464</v>
      </c>
      <c r="X33" s="179"/>
      <c r="Y33" s="185">
        <f>Y24-$C32</f>
        <v>48.102062997009369</v>
      </c>
      <c r="Z33" s="63"/>
      <c r="AA33" s="140">
        <f>AA24-$C32</f>
        <v>106.63378703774887</v>
      </c>
      <c r="AB33" s="179"/>
      <c r="AC33" s="185">
        <f>AC24-$C32</f>
        <v>-160.58828366796283</v>
      </c>
      <c r="AD33" s="63"/>
      <c r="AE33" s="139">
        <f>AE24-$C32</f>
        <v>-7.059130633381443</v>
      </c>
      <c r="AF33" s="117"/>
      <c r="AG33" s="139">
        <f>AG24-$C32</f>
        <v>-6.466295595416085</v>
      </c>
      <c r="AI33" s="139">
        <f>AI24-$C32</f>
        <v>-5.6123645823300592</v>
      </c>
      <c r="AK33" s="139">
        <f>AK24-$C32</f>
        <v>-5.6844156367010044</v>
      </c>
      <c r="AL33" s="117"/>
      <c r="AM33" s="139">
        <f>AM24-$C32</f>
        <v>104.57121543000576</v>
      </c>
      <c r="AN33" s="118"/>
      <c r="AO33" s="140">
        <f>AO24-$C32</f>
        <v>97.382252209586426</v>
      </c>
      <c r="AP33" s="63"/>
      <c r="AQ33" s="140">
        <f>AQ24-$C32</f>
        <v>106.59868983292151</v>
      </c>
      <c r="AR33" s="194"/>
      <c r="AS33" s="205">
        <f>AS24-$G32</f>
        <v>24.012913332904645</v>
      </c>
      <c r="AT33" s="63"/>
      <c r="AU33" s="140">
        <f>AU24-$C32</f>
        <v>11.867275647675001</v>
      </c>
      <c r="AV33" s="194"/>
      <c r="AW33" s="205">
        <f>AW24-$G32</f>
        <v>-71.376398427068779</v>
      </c>
      <c r="AX33" s="216"/>
      <c r="AY33" s="188">
        <f>AY24-$G32</f>
        <v>-93.775103782064264</v>
      </c>
      <c r="AZ33" s="63"/>
      <c r="BA33" s="139">
        <f>BA24-$C32</f>
        <v>106.36142580331111</v>
      </c>
      <c r="BB33" s="217"/>
      <c r="BC33" s="239">
        <f>BC24-$G32</f>
        <v>3.7344422264220043</v>
      </c>
      <c r="BD33" s="216"/>
      <c r="BE33" s="188">
        <f>BE24-$G32</f>
        <v>4.2561289472548083</v>
      </c>
      <c r="BF33" s="63"/>
      <c r="BG33" s="139">
        <f>BG24-$C32</f>
        <v>10.433903386083387</v>
      </c>
      <c r="BH33" s="217"/>
      <c r="BI33" s="188">
        <f>BI24-$BG32</f>
        <v>4.1077179041213583</v>
      </c>
      <c r="BJ33" s="216"/>
      <c r="BK33" s="188">
        <f>BK24-$BG32</f>
        <v>-1.5423844500345751</v>
      </c>
      <c r="BL33" s="217"/>
      <c r="BM33" s="188">
        <f>BM24-$BG32</f>
        <v>-1.4183771417239939</v>
      </c>
      <c r="BN33" s="63"/>
      <c r="BO33" s="140">
        <f>BO24-$BG32</f>
        <v>-8.3898800552759667E-2</v>
      </c>
      <c r="BP33" s="217"/>
      <c r="BQ33" s="188">
        <f>BQ24-$BQ32</f>
        <v>2.2142661915653434</v>
      </c>
      <c r="BR33" s="217"/>
      <c r="BS33" s="188">
        <f t="shared" ref="BS33:BY33" si="14">BS24-$BQ32</f>
        <v>-0.46323717088205285</v>
      </c>
      <c r="BT33" s="63"/>
      <c r="BU33" s="140">
        <f t="shared" si="14"/>
        <v>0.67531787803073939</v>
      </c>
      <c r="BV33" s="216"/>
      <c r="BW33" s="188">
        <f t="shared" si="14"/>
        <v>0.65352919092612183</v>
      </c>
      <c r="BX33" s="63"/>
      <c r="BY33" s="139">
        <f t="shared" si="14"/>
        <v>-1.0453208819760675</v>
      </c>
      <c r="BZ33" s="216"/>
      <c r="CA33" s="188">
        <f>CA24-$G32</f>
        <v>-92.222838900603392</v>
      </c>
      <c r="CB33" s="63"/>
      <c r="CC33" s="140">
        <f>CC24-$C32</f>
        <v>13.231728519467111</v>
      </c>
    </row>
    <row r="34" spans="1:81" s="14" customFormat="1" ht="75.75" customHeight="1" x14ac:dyDescent="0.3">
      <c r="A34" s="15" t="s">
        <v>40</v>
      </c>
      <c r="B34" s="383"/>
      <c r="C34" s="384"/>
      <c r="D34" s="65"/>
      <c r="E34" s="65"/>
      <c r="F34" s="384"/>
      <c r="G34" s="384"/>
      <c r="H34" s="65"/>
      <c r="I34" s="65"/>
      <c r="J34" s="383"/>
      <c r="K34" s="384"/>
      <c r="L34" s="384"/>
      <c r="M34" s="384"/>
      <c r="N34" s="384"/>
      <c r="O34" s="413"/>
      <c r="P34" s="163"/>
      <c r="Q34" s="164"/>
      <c r="R34" s="84"/>
      <c r="S34" s="85"/>
      <c r="T34" s="180"/>
      <c r="U34" s="180"/>
      <c r="V34" s="65"/>
      <c r="W34" s="66"/>
      <c r="X34" s="180"/>
      <c r="Y34" s="180"/>
      <c r="Z34" s="65"/>
      <c r="AA34" s="66"/>
      <c r="AB34" s="180"/>
      <c r="AC34" s="180"/>
      <c r="AD34" s="65"/>
      <c r="AE34" s="65">
        <f>166-270+360</f>
        <v>256</v>
      </c>
      <c r="AF34" s="383"/>
      <c r="AG34" s="384"/>
      <c r="AH34" s="384"/>
      <c r="AI34" s="384"/>
      <c r="AJ34" s="65"/>
      <c r="AK34" s="65"/>
      <c r="AL34" s="383"/>
      <c r="AM34" s="384"/>
      <c r="AN34" s="384"/>
      <c r="AO34" s="413"/>
      <c r="AP34" s="65"/>
      <c r="AQ34" s="66"/>
      <c r="AR34" s="415"/>
      <c r="AS34" s="416"/>
      <c r="AT34" s="65"/>
      <c r="AU34" s="66"/>
      <c r="AV34" s="415"/>
      <c r="AW34" s="416"/>
      <c r="AX34" s="419"/>
      <c r="AY34" s="420"/>
      <c r="AZ34" s="65"/>
      <c r="BA34" s="65"/>
      <c r="BB34" s="420"/>
      <c r="BC34" s="424"/>
      <c r="BD34" s="419"/>
      <c r="BE34" s="420"/>
      <c r="BF34" s="65"/>
      <c r="BG34" s="65"/>
      <c r="BH34" s="420"/>
      <c r="BI34" s="420"/>
      <c r="BJ34" s="419"/>
      <c r="BK34" s="420"/>
      <c r="BL34" s="420"/>
      <c r="BM34" s="420"/>
      <c r="BN34" s="65"/>
      <c r="BO34" s="66"/>
      <c r="BP34" s="420"/>
      <c r="BQ34" s="420"/>
      <c r="BR34" s="420"/>
      <c r="BS34" s="420"/>
      <c r="BT34" s="65"/>
      <c r="BU34" s="66"/>
      <c r="BV34" s="419"/>
      <c r="BW34" s="420"/>
      <c r="BX34" s="65"/>
      <c r="BY34" s="65"/>
      <c r="BZ34" s="419"/>
      <c r="CA34" s="420"/>
      <c r="CB34" s="65"/>
      <c r="CC34" s="66"/>
    </row>
    <row r="35" spans="1:81" s="19" customFormat="1" x14ac:dyDescent="0.3">
      <c r="A35" s="20" t="s">
        <v>54</v>
      </c>
      <c r="B35" s="119"/>
      <c r="C35" s="120"/>
      <c r="D35" s="67"/>
      <c r="E35" s="67"/>
      <c r="F35" s="120"/>
      <c r="G35" s="120"/>
      <c r="H35" s="67"/>
      <c r="I35" s="67"/>
      <c r="J35" s="119"/>
      <c r="K35" s="120"/>
      <c r="L35" s="120"/>
      <c r="M35" s="120"/>
      <c r="N35" s="120"/>
      <c r="O35" s="152"/>
      <c r="P35" s="119"/>
      <c r="Q35" s="120"/>
      <c r="R35" s="86"/>
      <c r="S35" s="87"/>
      <c r="T35" s="179"/>
      <c r="U35" s="179"/>
      <c r="V35" s="67"/>
      <c r="W35" s="68"/>
      <c r="X35" s="179"/>
      <c r="Y35" s="179"/>
      <c r="Z35" s="67"/>
      <c r="AA35" s="68"/>
      <c r="AB35" s="179"/>
      <c r="AC35" s="179"/>
      <c r="AD35" s="67"/>
      <c r="AE35" s="67"/>
      <c r="AF35" s="119"/>
      <c r="AG35" s="120"/>
      <c r="AH35" s="120"/>
      <c r="AI35" s="120"/>
      <c r="AJ35" s="67"/>
      <c r="AK35" s="67"/>
      <c r="AL35" s="119"/>
      <c r="AM35" s="120"/>
      <c r="AN35" s="120"/>
      <c r="AO35" s="152"/>
      <c r="AP35" s="67"/>
      <c r="AQ35" s="68"/>
      <c r="AR35" s="198"/>
      <c r="AS35" s="199"/>
      <c r="AT35" s="67"/>
      <c r="AU35" s="68"/>
      <c r="AV35" s="198"/>
      <c r="AW35" s="199"/>
      <c r="AX35" s="119"/>
      <c r="AY35" s="120"/>
      <c r="AZ35" s="67"/>
      <c r="BA35" s="67"/>
      <c r="BB35" s="120"/>
      <c r="BC35" s="152"/>
      <c r="BD35" s="119"/>
      <c r="BE35" s="120"/>
      <c r="BF35" s="67"/>
      <c r="BG35" s="67"/>
      <c r="BH35" s="120"/>
      <c r="BI35" s="120"/>
      <c r="BJ35" s="119"/>
      <c r="BK35" s="120"/>
      <c r="BL35" s="120"/>
      <c r="BM35" s="120"/>
      <c r="BN35" s="67"/>
      <c r="BO35" s="68"/>
      <c r="BP35" s="120"/>
      <c r="BQ35" s="120"/>
      <c r="BR35" s="120"/>
      <c r="BS35" s="120"/>
      <c r="BT35" s="67"/>
      <c r="BU35" s="68"/>
      <c r="BV35" s="119"/>
      <c r="BW35" s="120"/>
      <c r="BX35" s="67"/>
      <c r="BY35" s="67"/>
      <c r="BZ35" s="119"/>
      <c r="CA35" s="120"/>
      <c r="CB35" s="67"/>
      <c r="CC35" s="68"/>
    </row>
    <row r="36" spans="1:81" x14ac:dyDescent="0.3">
      <c r="A36" s="7" t="s">
        <v>42</v>
      </c>
      <c r="B36" s="117"/>
      <c r="C36" s="141">
        <f>C8*$C29</f>
        <v>1.6146224391850668</v>
      </c>
      <c r="D36" s="63"/>
      <c r="E36" s="63"/>
      <c r="F36" s="118"/>
      <c r="G36" s="141">
        <f>G8*$C29</f>
        <v>1.7542353567255171</v>
      </c>
      <c r="H36" s="63"/>
      <c r="I36" s="63"/>
      <c r="J36" s="117"/>
      <c r="K36" s="147">
        <f>K8*$K29</f>
        <v>1.2135619241628059</v>
      </c>
      <c r="L36" s="118"/>
      <c r="M36" s="147">
        <f>M8*$K29</f>
        <v>1.1787155400344118</v>
      </c>
      <c r="N36" s="118"/>
      <c r="O36" s="156">
        <f>O8*$C29</f>
        <v>74.653509119190758</v>
      </c>
      <c r="P36" s="117"/>
      <c r="Q36" s="166">
        <f>Q8*$C29</f>
        <v>10.472293556809745</v>
      </c>
      <c r="R36" s="117"/>
      <c r="S36" s="166">
        <f>S8*$C29</f>
        <v>2.3213589759452362</v>
      </c>
      <c r="T36" s="183"/>
      <c r="U36" s="131">
        <f>U8*$C29</f>
        <v>1.7542353567255171</v>
      </c>
      <c r="V36" s="118"/>
      <c r="W36" s="173">
        <f>W8*$C29</f>
        <v>73.014000668028501</v>
      </c>
      <c r="X36" s="183"/>
      <c r="Y36" s="131">
        <f>Y8*$C29</f>
        <v>7.1610103568487604</v>
      </c>
      <c r="Z36" s="118"/>
      <c r="AA36" s="173">
        <f>AA8*$C29</f>
        <v>78.937101230257738</v>
      </c>
      <c r="AB36" s="183"/>
      <c r="AC36" s="131">
        <f>AC8*$C29</f>
        <v>5.9166241606893308</v>
      </c>
      <c r="AD36" s="118"/>
      <c r="AE36" s="166">
        <f>AE8*$C29</f>
        <v>75.997672710012992</v>
      </c>
      <c r="AF36" s="117"/>
      <c r="AG36" s="166">
        <f>AG8*$C29</f>
        <v>6.6572588622524576</v>
      </c>
      <c r="AI36" s="166">
        <f>AI8*$C29</f>
        <v>1.0936166714722446</v>
      </c>
      <c r="AL36" s="117"/>
      <c r="AM36" s="166">
        <f>AM8*$C29</f>
        <v>6.6914866398581498</v>
      </c>
      <c r="AN36" s="118"/>
      <c r="AO36" s="173">
        <f>AO8*$C29</f>
        <v>1.1475804912356733</v>
      </c>
      <c r="AP36" s="63"/>
      <c r="AQ36" s="64"/>
      <c r="AR36" s="194"/>
      <c r="AS36" s="206">
        <f>AS8*$C29</f>
        <v>1.2102730643193174</v>
      </c>
      <c r="AT36" s="63"/>
      <c r="AU36" s="64"/>
      <c r="AV36" s="194"/>
      <c r="AW36" s="206">
        <f>AW8*$C29</f>
        <v>1.1821886582492493</v>
      </c>
      <c r="AX36" s="216"/>
      <c r="AY36" s="225">
        <f>AY8*$C29</f>
        <v>5.4496204458181916</v>
      </c>
      <c r="AZ36" s="63"/>
      <c r="BA36" s="63"/>
      <c r="BB36" s="217"/>
      <c r="BC36" s="240">
        <f>BC8*$C29</f>
        <v>5.92456822662934</v>
      </c>
      <c r="BD36" s="216"/>
      <c r="BE36" s="225">
        <f>BE8*$C29</f>
        <v>2.5529422345207569</v>
      </c>
      <c r="BF36" s="63"/>
      <c r="BG36" s="63"/>
      <c r="BH36" s="217"/>
      <c r="BI36" s="225">
        <f>BI8*$C29</f>
        <v>2.5078008506696108</v>
      </c>
      <c r="BJ36" s="216"/>
      <c r="BK36" s="225">
        <f>BK8*$C29</f>
        <v>2.0898340422246755</v>
      </c>
      <c r="BL36" s="217"/>
      <c r="BM36" s="225">
        <f>BM8*$C29</f>
        <v>8.7135342526320443</v>
      </c>
      <c r="BN36" s="63"/>
      <c r="BO36" s="64"/>
      <c r="BP36" s="217"/>
      <c r="BQ36" s="225">
        <f>BQ8*$C29</f>
        <v>1.8583892324587648</v>
      </c>
      <c r="BR36" s="217"/>
      <c r="BS36" s="225">
        <f>BS8*$C29</f>
        <v>8.6251798482728077</v>
      </c>
      <c r="BT36" s="63"/>
      <c r="BU36" s="64"/>
      <c r="BV36" s="216"/>
      <c r="BW36" s="225">
        <f>BW8*$C29</f>
        <v>4.4746930871363091</v>
      </c>
      <c r="BX36" s="63"/>
      <c r="BY36" s="63"/>
      <c r="BZ36" s="216"/>
      <c r="CA36" s="225">
        <f>CA8*$C29</f>
        <v>4.5105869222728963</v>
      </c>
      <c r="CB36" s="63"/>
      <c r="CC36" s="64"/>
    </row>
    <row r="37" spans="1:81" x14ac:dyDescent="0.3">
      <c r="A37" t="s">
        <v>50</v>
      </c>
      <c r="B37" s="117"/>
      <c r="C37" s="141">
        <f>C36-C16</f>
        <v>-8.5377560814933195E-2</v>
      </c>
      <c r="D37" s="63"/>
      <c r="E37" s="63"/>
      <c r="F37" s="118"/>
      <c r="G37" s="141">
        <f>G36-G16</f>
        <v>5.4235356725517159E-2</v>
      </c>
      <c r="H37" s="63"/>
      <c r="I37" s="63"/>
      <c r="J37" s="117"/>
      <c r="K37" s="141">
        <f>K36-K16</f>
        <v>-4.9438075837193951E-2</v>
      </c>
      <c r="L37" s="118"/>
      <c r="M37" s="141">
        <f>M36-M16</f>
        <v>-8.4284459965588088E-2</v>
      </c>
      <c r="N37" s="118"/>
      <c r="O37" s="143">
        <f>O36-O16</f>
        <v>-0.1476385346935416</v>
      </c>
      <c r="P37" s="117"/>
      <c r="Q37" s="141">
        <f>Q36-Q16</f>
        <v>0.9722935568097455</v>
      </c>
      <c r="R37" s="117"/>
      <c r="S37" s="141">
        <f>S36-S16</f>
        <v>9.1358975945236232E-2</v>
      </c>
      <c r="T37" s="183"/>
      <c r="U37" s="182">
        <f>U36-U16</f>
        <v>-0.47576464327448287</v>
      </c>
      <c r="V37" s="118"/>
      <c r="W37" s="143">
        <f>W36-W16</f>
        <v>-2.1487820265117534</v>
      </c>
      <c r="X37" s="183"/>
      <c r="Y37" s="182">
        <f>Y36-Y16</f>
        <v>0.49001035684876015</v>
      </c>
      <c r="Z37" s="118"/>
      <c r="AA37" s="143">
        <f>AA36-AA16</f>
        <v>6.9103361347909953</v>
      </c>
      <c r="AB37" s="183"/>
      <c r="AC37" s="182">
        <f>AC36-AC16</f>
        <v>3.681624160689331</v>
      </c>
      <c r="AD37" s="118"/>
      <c r="AE37" s="141">
        <f>AE36-AE16</f>
        <v>3.970907614546249</v>
      </c>
      <c r="AF37" s="117"/>
      <c r="AG37" s="141">
        <f>AG36-AG16</f>
        <v>0.74025886225245774</v>
      </c>
      <c r="AI37" s="141">
        <f>AI36-AI16</f>
        <v>6.6616671472244704E-2</v>
      </c>
      <c r="AL37" s="117"/>
      <c r="AM37" s="141">
        <f>AM36-AM16</f>
        <v>0.77448663985815003</v>
      </c>
      <c r="AN37" s="118"/>
      <c r="AO37" s="143">
        <f>AO36-AO16</f>
        <v>0.12058049123567338</v>
      </c>
      <c r="AP37" s="63"/>
      <c r="AQ37" s="64"/>
      <c r="AR37" s="194"/>
      <c r="AS37" s="207">
        <f>AS36-AS16</f>
        <v>-0.38872693568068262</v>
      </c>
      <c r="AT37" s="63"/>
      <c r="AU37" s="64"/>
      <c r="AV37" s="194"/>
      <c r="AW37" s="207">
        <f>AW36-AW16</f>
        <v>-0.41681134175075063</v>
      </c>
      <c r="AX37" s="216"/>
      <c r="AY37" s="187">
        <f>AY36-AY16</f>
        <v>-0.15437955418180849</v>
      </c>
      <c r="AZ37" s="63"/>
      <c r="BA37" s="63"/>
      <c r="BB37" s="217"/>
      <c r="BC37" s="241">
        <f>BC36-BC16</f>
        <v>0.32056822662933993</v>
      </c>
      <c r="BD37" s="216"/>
      <c r="BE37" s="187">
        <f>BE36-BE16</f>
        <v>-0.33205776547924293</v>
      </c>
      <c r="BF37" s="63"/>
      <c r="BG37" s="63"/>
      <c r="BH37" s="217"/>
      <c r="BI37" s="187">
        <f>BI36-BI16</f>
        <v>-0.37719914933038901</v>
      </c>
      <c r="BJ37" s="216"/>
      <c r="BK37" s="187">
        <f>BK36-BK16</f>
        <v>0.21783404222467539</v>
      </c>
      <c r="BL37" s="217"/>
      <c r="BM37" s="187">
        <f>BM36-BM16</f>
        <v>0.11353425263204464</v>
      </c>
      <c r="BN37" s="63"/>
      <c r="BO37" s="64"/>
      <c r="BP37" s="217"/>
      <c r="BQ37" s="187">
        <f>BQ36-BQ16</f>
        <v>-1.3610767541235358E-2</v>
      </c>
      <c r="BR37" s="217"/>
      <c r="BS37" s="187">
        <f>BS36-BS16</f>
        <v>2.5179848272808059E-2</v>
      </c>
      <c r="BT37" s="63"/>
      <c r="BU37" s="64"/>
      <c r="BV37" s="216"/>
      <c r="BW37" s="187">
        <f>BW36-BW16</f>
        <v>-0.11430691286369132</v>
      </c>
      <c r="BX37" s="63"/>
      <c r="BY37" s="63"/>
      <c r="BZ37" s="216"/>
      <c r="CA37" s="187">
        <f>CA36-CA16</f>
        <v>-7.8413077727104152E-2</v>
      </c>
      <c r="CB37" s="63"/>
      <c r="CC37" s="64"/>
    </row>
    <row r="38" spans="1:81" x14ac:dyDescent="0.3">
      <c r="A38" t="s">
        <v>51</v>
      </c>
      <c r="B38" s="117"/>
      <c r="C38" s="142">
        <f>C37/C16</f>
        <v>-5.0222094597019526E-2</v>
      </c>
      <c r="D38" s="63"/>
      <c r="E38" s="63"/>
      <c r="F38" s="118"/>
      <c r="G38" s="142">
        <f>G37/G16</f>
        <v>3.1903151015010095E-2</v>
      </c>
      <c r="H38" s="63"/>
      <c r="I38" s="63"/>
      <c r="J38" s="117"/>
      <c r="K38" s="142">
        <f>K37/K16</f>
        <v>-3.9143369625648419E-2</v>
      </c>
      <c r="L38" s="118"/>
      <c r="M38" s="142">
        <f>M37/M16</f>
        <v>-6.6733539165152886E-2</v>
      </c>
      <c r="N38" s="118"/>
      <c r="O38" s="157">
        <f>O37/O16</f>
        <v>-1.9737469186527244E-3</v>
      </c>
      <c r="P38" s="117"/>
      <c r="Q38" s="142">
        <f>Q37/Q16</f>
        <v>0.10234669019049952</v>
      </c>
      <c r="R38" s="117"/>
      <c r="S38" s="142">
        <f>S37/S16</f>
        <v>4.0968150648087995E-2</v>
      </c>
      <c r="T38" s="183"/>
      <c r="U38" s="132">
        <f>U37/U16</f>
        <v>-0.21334737366568737</v>
      </c>
      <c r="V38" s="118"/>
      <c r="W38" s="157">
        <f>W37/W16</f>
        <v>-2.8588377777927037E-2</v>
      </c>
      <c r="X38" s="183"/>
      <c r="Y38" s="132">
        <f>Y37/Y16</f>
        <v>7.3453808551755373E-2</v>
      </c>
      <c r="Z38" s="118"/>
      <c r="AA38" s="157">
        <f>AA37/AA16</f>
        <v>9.5941225815595069E-2</v>
      </c>
      <c r="AB38" s="183"/>
      <c r="AC38" s="132">
        <f>AC37/AC16</f>
        <v>1.647259132299477</v>
      </c>
      <c r="AD38" s="118"/>
      <c r="AE38" s="142">
        <f>AE37/AE16</f>
        <v>5.5131000389689468E-2</v>
      </c>
      <c r="AF38" s="117"/>
      <c r="AG38" s="142">
        <f>AG37/AG16</f>
        <v>0.12510712561305692</v>
      </c>
      <c r="AI38" s="142">
        <f>AI37/AI16</f>
        <v>6.4865308152137008E-2</v>
      </c>
      <c r="AL38" s="117"/>
      <c r="AM38" s="142">
        <f>AM37/AM16</f>
        <v>0.13089177621398512</v>
      </c>
      <c r="AN38" s="118"/>
      <c r="AO38" s="157">
        <f>AO37/AO16</f>
        <v>0.11741041016131781</v>
      </c>
      <c r="AP38" s="63"/>
      <c r="AQ38" s="64"/>
      <c r="AR38" s="194"/>
      <c r="AS38" s="208">
        <f>AS37/AS16</f>
        <v>-0.24310627622306605</v>
      </c>
      <c r="AT38" s="63"/>
      <c r="AU38" s="64"/>
      <c r="AV38" s="194"/>
      <c r="AW38" s="208">
        <f>AW37/AW16</f>
        <v>-0.26067000734881218</v>
      </c>
      <c r="AX38" s="216"/>
      <c r="AY38" s="226">
        <f>AY37/AY16</f>
        <v>-2.7548100317952979E-2</v>
      </c>
      <c r="AZ38" s="63"/>
      <c r="BA38" s="63"/>
      <c r="BB38" s="217"/>
      <c r="BC38" s="242">
        <f>BC37/BC16</f>
        <v>5.7203466564835818E-2</v>
      </c>
      <c r="BD38" s="216"/>
      <c r="BE38" s="226">
        <f>BE37/BE16</f>
        <v>-0.11509801229783118</v>
      </c>
      <c r="BF38" s="63"/>
      <c r="BG38" s="63"/>
      <c r="BH38" s="217"/>
      <c r="BI38" s="226">
        <f>BI37/BI16</f>
        <v>-0.13074493910932028</v>
      </c>
      <c r="BJ38" s="216"/>
      <c r="BK38" s="226">
        <f>BK37/BK16</f>
        <v>0.11636433879523257</v>
      </c>
      <c r="BL38" s="217"/>
      <c r="BM38" s="226">
        <f>BM37/BM16</f>
        <v>1.3201657282795889E-2</v>
      </c>
      <c r="BN38" s="63"/>
      <c r="BO38" s="64"/>
      <c r="BP38" s="217"/>
      <c r="BQ38" s="226">
        <f>BQ37/BQ16</f>
        <v>-7.2707091566428187E-3</v>
      </c>
      <c r="BR38" s="217"/>
      <c r="BS38" s="226">
        <f>BS37/BS16</f>
        <v>2.9278893340474489E-3</v>
      </c>
      <c r="BT38" s="63"/>
      <c r="BU38" s="64"/>
      <c r="BV38" s="216"/>
      <c r="BW38" s="226">
        <f>BW37/BW16</f>
        <v>-2.4908893629045831E-2</v>
      </c>
      <c r="BX38" s="63"/>
      <c r="BY38" s="63"/>
      <c r="BZ38" s="216"/>
      <c r="CA38" s="226">
        <f>CA37/CA16</f>
        <v>-1.7087181897385954E-2</v>
      </c>
      <c r="CB38" s="63"/>
      <c r="CC38" s="64"/>
    </row>
    <row r="39" spans="1:81" x14ac:dyDescent="0.3">
      <c r="A39" s="29" t="s">
        <v>53</v>
      </c>
      <c r="B39" s="117">
        <f>AVERAGE(B37:E37)</f>
        <v>-8.5377560814933195E-2</v>
      </c>
      <c r="C39" s="142">
        <f>AVERAGE(C38:E38)</f>
        <v>-5.0222094597019526E-2</v>
      </c>
      <c r="D39" s="63"/>
      <c r="E39" s="63"/>
      <c r="F39" s="118"/>
      <c r="G39" s="142">
        <f>AVERAGE(G38:K38)</f>
        <v>-3.6201093053191621E-3</v>
      </c>
      <c r="H39" s="63"/>
      <c r="I39" s="63"/>
      <c r="J39" s="117"/>
      <c r="K39" s="142"/>
      <c r="L39" s="118"/>
      <c r="M39" s="142"/>
      <c r="N39" s="118"/>
      <c r="O39" s="157"/>
      <c r="P39" s="117"/>
      <c r="Q39" s="142"/>
      <c r="R39" s="117"/>
      <c r="S39" s="142"/>
      <c r="T39" s="183"/>
      <c r="U39" s="132"/>
      <c r="V39" s="118"/>
      <c r="W39" s="157"/>
      <c r="X39" s="183"/>
      <c r="Y39" s="132"/>
      <c r="Z39" s="118"/>
      <c r="AA39" s="157"/>
      <c r="AB39" s="183"/>
      <c r="AC39" s="132"/>
      <c r="AD39" s="118"/>
      <c r="AE39" s="142"/>
      <c r="AF39" s="117">
        <f>AVERAGE(AF37:AK37)</f>
        <v>0.40343776686235122</v>
      </c>
      <c r="AG39" s="142">
        <f>AVERAGE(AG38:AK38)</f>
        <v>9.4986216882596966E-2</v>
      </c>
      <c r="AI39" s="142"/>
      <c r="AL39" s="117">
        <f>AVERAGE(AL37:AQ37)</f>
        <v>0.4475335655469117</v>
      </c>
      <c r="AM39" s="142">
        <f>AVERAGE(AM38:AQ38)</f>
        <v>0.12415109318765147</v>
      </c>
      <c r="AN39" s="118"/>
      <c r="AO39" s="157"/>
      <c r="AP39" s="63"/>
      <c r="AQ39" s="64"/>
      <c r="AR39" s="194"/>
      <c r="AS39" s="208"/>
      <c r="AT39" s="63"/>
      <c r="AU39" s="64"/>
      <c r="AV39" s="194"/>
      <c r="AW39" s="208"/>
      <c r="AX39" s="216"/>
      <c r="AY39" s="226"/>
      <c r="AZ39" s="63"/>
      <c r="BA39" s="63"/>
      <c r="BB39" s="217"/>
      <c r="BC39" s="242"/>
      <c r="BD39" s="216"/>
      <c r="BE39" s="226"/>
      <c r="BF39" s="63"/>
      <c r="BG39" s="63"/>
      <c r="BH39" s="217"/>
      <c r="BI39" s="226"/>
      <c r="BJ39" s="216"/>
      <c r="BK39" s="226"/>
      <c r="BL39" s="217"/>
      <c r="BM39" s="226"/>
      <c r="BN39" s="63"/>
      <c r="BO39" s="64"/>
      <c r="BP39" s="217"/>
      <c r="BQ39" s="226"/>
      <c r="BR39" s="217"/>
      <c r="BS39" s="226"/>
      <c r="BT39" s="63"/>
      <c r="BU39" s="64"/>
      <c r="BV39" s="216"/>
      <c r="BW39" s="226"/>
      <c r="BX39" s="63"/>
      <c r="BY39" s="63"/>
      <c r="BZ39" s="216"/>
      <c r="CA39" s="226"/>
      <c r="CB39" s="63"/>
      <c r="CC39" s="64"/>
    </row>
    <row r="40" spans="1:81" x14ac:dyDescent="0.3">
      <c r="A40" s="29" t="s">
        <v>52</v>
      </c>
      <c r="B40" s="117">
        <f>STDEV(B37:G37)</f>
        <v>9.8721240734090721E-2</v>
      </c>
      <c r="C40" s="142">
        <f>STDEV(C38:G38)</f>
        <v>5.8071318078876902E-2</v>
      </c>
      <c r="D40" s="63"/>
      <c r="E40" s="63"/>
      <c r="F40" s="118"/>
      <c r="G40" s="142">
        <f>STDEV(G38:K38)</f>
        <v>5.0237476524719653E-2</v>
      </c>
      <c r="H40" s="63"/>
      <c r="I40" s="63"/>
      <c r="J40" s="117"/>
      <c r="K40" s="142"/>
      <c r="L40" s="118"/>
      <c r="M40" s="142"/>
      <c r="N40" s="118"/>
      <c r="O40" s="157"/>
      <c r="P40" s="117"/>
      <c r="Q40" s="142"/>
      <c r="R40" s="117"/>
      <c r="S40" s="142"/>
      <c r="T40" s="183"/>
      <c r="U40" s="132"/>
      <c r="V40" s="118"/>
      <c r="W40" s="157"/>
      <c r="X40" s="183"/>
      <c r="Y40" s="132"/>
      <c r="Z40" s="118"/>
      <c r="AA40" s="157"/>
      <c r="AB40" s="183"/>
      <c r="AC40" s="132"/>
      <c r="AD40" s="118"/>
      <c r="AE40" s="142"/>
      <c r="AF40" s="117">
        <f>STDEV(AF37:AK37)</f>
        <v>0.47633696119405067</v>
      </c>
      <c r="AG40" s="142">
        <f>STDEV(AG38:AK38)</f>
        <v>4.2597397637618634E-2</v>
      </c>
      <c r="AI40" s="142"/>
      <c r="AL40" s="117">
        <f>STDEV(AL37:AQ37)</f>
        <v>0.46238147195053164</v>
      </c>
      <c r="AM40" s="142">
        <f>STDEV(AM38:AQ38)</f>
        <v>9.5327653554991721E-3</v>
      </c>
      <c r="AN40" s="118"/>
      <c r="AO40" s="157"/>
      <c r="AP40" s="63"/>
      <c r="AQ40" s="64"/>
      <c r="AR40" s="194"/>
      <c r="AS40" s="208"/>
      <c r="AT40" s="63"/>
      <c r="AU40" s="64"/>
      <c r="AV40" s="194"/>
      <c r="AW40" s="208"/>
      <c r="AX40" s="216"/>
      <c r="AY40" s="226"/>
      <c r="AZ40" s="63"/>
      <c r="BA40" s="63"/>
      <c r="BB40" s="217"/>
      <c r="BC40" s="242"/>
      <c r="BD40" s="216"/>
      <c r="BE40" s="226"/>
      <c r="BF40" s="63"/>
      <c r="BG40" s="63"/>
      <c r="BH40" s="217"/>
      <c r="BI40" s="226"/>
      <c r="BJ40" s="216"/>
      <c r="BK40" s="226"/>
      <c r="BL40" s="217"/>
      <c r="BM40" s="226"/>
      <c r="BN40" s="63"/>
      <c r="BO40" s="64"/>
      <c r="BP40" s="217"/>
      <c r="BQ40" s="226"/>
      <c r="BR40" s="217"/>
      <c r="BS40" s="226"/>
      <c r="BT40" s="63"/>
      <c r="BU40" s="64"/>
      <c r="BV40" s="216"/>
      <c r="BW40" s="226"/>
      <c r="BX40" s="63"/>
      <c r="BY40" s="63"/>
      <c r="BZ40" s="216"/>
      <c r="CA40" s="226"/>
      <c r="CB40" s="63"/>
      <c r="CC40" s="64"/>
    </row>
    <row r="41" spans="1:81" x14ac:dyDescent="0.3">
      <c r="B41" s="117"/>
      <c r="C41" s="142"/>
      <c r="D41" s="63"/>
      <c r="E41" s="63"/>
      <c r="F41" s="118"/>
      <c r="G41" s="142"/>
      <c r="H41" s="63"/>
      <c r="I41" s="63"/>
      <c r="J41" s="117"/>
      <c r="K41" s="142"/>
      <c r="L41" s="118"/>
      <c r="M41" s="142"/>
      <c r="N41" s="118"/>
      <c r="O41" s="157"/>
      <c r="P41" s="117"/>
      <c r="Q41" s="142"/>
      <c r="R41" s="117"/>
      <c r="S41" s="142"/>
      <c r="T41" s="183"/>
      <c r="U41" s="132"/>
      <c r="V41" s="118"/>
      <c r="W41" s="157"/>
      <c r="X41" s="183"/>
      <c r="Y41" s="132"/>
      <c r="Z41" s="118"/>
      <c r="AA41" s="157"/>
      <c r="AB41" s="183"/>
      <c r="AC41" s="132"/>
      <c r="AD41" s="118"/>
      <c r="AE41" s="142"/>
      <c r="AF41" s="117"/>
      <c r="AG41" s="142"/>
      <c r="AI41" s="142"/>
      <c r="AL41" s="117"/>
      <c r="AM41" s="142"/>
      <c r="AN41" s="118"/>
      <c r="AO41" s="157"/>
      <c r="AP41" s="63"/>
      <c r="AQ41" s="64"/>
      <c r="AR41" s="194"/>
      <c r="AS41" s="208"/>
      <c r="AT41" s="63"/>
      <c r="AU41" s="64"/>
      <c r="AV41" s="194"/>
      <c r="AW41" s="208"/>
      <c r="AX41" s="216"/>
      <c r="AY41" s="226"/>
      <c r="AZ41" s="63"/>
      <c r="BA41" s="63"/>
      <c r="BB41" s="217"/>
      <c r="BC41" s="242"/>
      <c r="BD41" s="216"/>
      <c r="BE41" s="226"/>
      <c r="BF41" s="63"/>
      <c r="BG41" s="63"/>
      <c r="BH41" s="217"/>
      <c r="BI41" s="226"/>
      <c r="BJ41" s="216"/>
      <c r="BK41" s="226"/>
      <c r="BL41" s="217"/>
      <c r="BM41" s="226"/>
      <c r="BN41" s="63"/>
      <c r="BO41" s="64"/>
      <c r="BP41" s="217"/>
      <c r="BQ41" s="226"/>
      <c r="BR41" s="217"/>
      <c r="BS41" s="226"/>
      <c r="BT41" s="63"/>
      <c r="BU41" s="64"/>
      <c r="BV41" s="216"/>
      <c r="BW41" s="226"/>
      <c r="BX41" s="63"/>
      <c r="BY41" s="63"/>
      <c r="BZ41" s="216"/>
      <c r="CA41" s="226"/>
      <c r="CB41" s="63"/>
      <c r="CC41" s="64"/>
    </row>
    <row r="42" spans="1:81" x14ac:dyDescent="0.3">
      <c r="A42" s="7" t="s">
        <v>43</v>
      </c>
      <c r="B42" s="117"/>
      <c r="C42" s="141">
        <f>MOD(C9-$C32,360)</f>
        <v>76.299947872510415</v>
      </c>
      <c r="D42" s="63"/>
      <c r="E42" s="141"/>
      <c r="F42" s="118"/>
      <c r="G42" s="141">
        <f>MOD(G9-$G32,360)</f>
        <v>73.669025730319561</v>
      </c>
      <c r="H42" s="63"/>
      <c r="I42" s="141"/>
      <c r="J42" s="117"/>
      <c r="K42" s="141">
        <f>MOD(K9-$G32,360)</f>
        <v>52.209064999833856</v>
      </c>
      <c r="L42" s="118"/>
      <c r="M42" s="93">
        <f>MOD(M9-$M32,360)</f>
        <v>47.488102445612469</v>
      </c>
      <c r="N42" s="118"/>
      <c r="O42" s="143">
        <f>MOD(O9-$M32,360)</f>
        <v>269.88268359558487</v>
      </c>
      <c r="P42" s="117"/>
      <c r="Q42" s="167">
        <f>MOD(Q9-$M32,360)</f>
        <v>200.63941111277668</v>
      </c>
      <c r="R42" s="117"/>
      <c r="S42" s="167">
        <f>MOD(S9-$M32,360)</f>
        <v>171.49559486534477</v>
      </c>
      <c r="T42" s="183"/>
      <c r="U42" s="133">
        <f>MOD(U9-$U32,360)</f>
        <v>164.21195285720626</v>
      </c>
      <c r="V42" s="118"/>
      <c r="W42" s="171">
        <f>MOD(W9-$M32,360)</f>
        <v>1.4717333015688894</v>
      </c>
      <c r="X42" s="183"/>
      <c r="Y42" s="133">
        <f>MOD(Y9-$U32,360)</f>
        <v>20.861200324874858</v>
      </c>
      <c r="Z42" s="118"/>
      <c r="AA42" s="171">
        <f>MOD(AA9-$M32,360)</f>
        <v>3.654328231273098</v>
      </c>
      <c r="AB42" s="183"/>
      <c r="AC42" s="133">
        <f>MOD(AC9-$U32,360)</f>
        <v>259.56085365990265</v>
      </c>
      <c r="AD42" s="118"/>
      <c r="AE42" s="167">
        <f>MOD(AE9-$M32,360)</f>
        <v>249.96141056014281</v>
      </c>
      <c r="AF42" s="117"/>
      <c r="AG42" s="167">
        <f>MOD(AG9-$AE32,360)</f>
        <v>68.609736696262843</v>
      </c>
      <c r="AI42" s="167">
        <f>MOD(AI9-$AE32,360)</f>
        <v>45.688874397694661</v>
      </c>
      <c r="AK42" s="141"/>
      <c r="AL42" s="117"/>
      <c r="AM42" s="167">
        <f>MOD(AM9-$AM32,360)</f>
        <v>67.913928426567963</v>
      </c>
      <c r="AN42" s="118"/>
      <c r="AO42" s="171">
        <f>MOD(AO9-$AM32,360)</f>
        <v>36.950171894494417</v>
      </c>
      <c r="AP42" s="63"/>
      <c r="AQ42" s="143"/>
      <c r="AR42" s="194"/>
      <c r="AS42" s="207">
        <f>MOD(AS9-$AM32,360)</f>
        <v>278.64941612848804</v>
      </c>
      <c r="AT42" s="63"/>
      <c r="AU42" s="143"/>
      <c r="AV42" s="194"/>
      <c r="AW42" s="207">
        <f>MOD(AW9-$AU32,360)</f>
        <v>276.68469356936464</v>
      </c>
      <c r="AX42" s="216"/>
      <c r="AY42" s="187">
        <f>MOD(AY9-$AU32,360)</f>
        <v>227.28598821436916</v>
      </c>
      <c r="AZ42" s="63"/>
      <c r="BA42" s="141"/>
      <c r="BB42" s="217"/>
      <c r="BC42" s="241">
        <f>MOD(BC9-$BA32,360)</f>
        <v>229.63552710310046</v>
      </c>
      <c r="BD42" s="216"/>
      <c r="BE42" s="187">
        <f>MOD(BE9-$BA32,360)</f>
        <v>299.68721382393329</v>
      </c>
      <c r="BF42" s="63"/>
      <c r="BG42" s="141"/>
      <c r="BH42" s="217"/>
      <c r="BI42" s="187">
        <f>MOD(BI9-$BG32,360)</f>
        <v>300.5877179041214</v>
      </c>
      <c r="BJ42" s="216"/>
      <c r="BK42" s="187">
        <f>MOD(BK9-$BG32,360)</f>
        <v>67.457615549965425</v>
      </c>
      <c r="BL42" s="217"/>
      <c r="BM42" s="187">
        <f>MOD(BM9-$BG32,360)</f>
        <v>307.58162285827598</v>
      </c>
      <c r="BN42" s="63"/>
      <c r="BO42" s="143"/>
      <c r="BP42" s="217"/>
      <c r="BQ42" s="187">
        <f>MOD(BQ9-$BQ32,360)</f>
        <v>71.214266191565343</v>
      </c>
      <c r="BR42" s="217"/>
      <c r="BS42" s="187">
        <f>MOD(BS9-$BQ32,360)</f>
        <v>308.53676282911795</v>
      </c>
      <c r="BT42" s="63"/>
      <c r="BU42" s="143"/>
      <c r="BV42" s="216"/>
      <c r="BW42" s="187">
        <f>MOD(BW9-$BQ32,360)</f>
        <v>58.233529190926106</v>
      </c>
      <c r="BX42" s="63"/>
      <c r="BY42" s="141"/>
      <c r="BZ42" s="216"/>
      <c r="CA42" s="187">
        <f>MOD(CA9-$CA32,360)</f>
        <v>58.068316438801418</v>
      </c>
      <c r="CB42" s="63"/>
      <c r="CC42" s="143"/>
    </row>
    <row r="43" spans="1:81" x14ac:dyDescent="0.3">
      <c r="A43" t="s">
        <v>55</v>
      </c>
      <c r="B43" s="117"/>
      <c r="C43" s="141">
        <f>C42-C17</f>
        <v>-1.7000521274895846</v>
      </c>
      <c r="D43" s="63"/>
      <c r="E43" s="141"/>
      <c r="F43" s="118"/>
      <c r="G43" s="141">
        <f>G42-G17</f>
        <v>-4.3309742696804392</v>
      </c>
      <c r="H43" s="63"/>
      <c r="I43" s="141"/>
      <c r="J43" s="117"/>
      <c r="K43" s="141">
        <f>K42-K17</f>
        <v>7.2590649998338534</v>
      </c>
      <c r="L43" s="118"/>
      <c r="M43" s="141">
        <f>M42-M17</f>
        <v>2.5381024456124663</v>
      </c>
      <c r="N43" s="118"/>
      <c r="O43" s="143">
        <f>O42-O17</f>
        <v>359.88268359558487</v>
      </c>
      <c r="P43" s="117"/>
      <c r="Q43" s="141">
        <f>Q42-Q17</f>
        <v>-3.3605888872233152</v>
      </c>
      <c r="R43" s="117"/>
      <c r="S43" s="141">
        <f>S42-S17</f>
        <v>5.7055948653447786</v>
      </c>
      <c r="T43" s="183"/>
      <c r="U43" s="182">
        <f>U42-U17</f>
        <v>-1.5780471427937357</v>
      </c>
      <c r="V43" s="118"/>
      <c r="W43" s="143">
        <f>W42-W17</f>
        <v>91.471733301568889</v>
      </c>
      <c r="X43" s="183"/>
      <c r="Y43" s="182">
        <f>Y42-Y17</f>
        <v>-57.428799675125148</v>
      </c>
      <c r="Z43" s="118"/>
      <c r="AA43" s="143">
        <f>AA42-AA17</f>
        <v>93.654328231273098</v>
      </c>
      <c r="AB43" s="183"/>
      <c r="AC43" s="182">
        <f>AC42-AC17</f>
        <v>93.880853659902641</v>
      </c>
      <c r="AD43" s="118"/>
      <c r="AE43" s="141">
        <f>AE42-AE17</f>
        <v>339.96141056014278</v>
      </c>
      <c r="AF43" s="117"/>
      <c r="AG43" s="141">
        <f>AG42-AG17</f>
        <v>-0.12026330373716121</v>
      </c>
      <c r="AI43" s="141">
        <f>AI42-AI17</f>
        <v>0.73366770934886461</v>
      </c>
      <c r="AK43" s="141"/>
      <c r="AL43" s="117"/>
      <c r="AM43" s="141">
        <f>AM42-AM17</f>
        <v>-0.81607157343204051</v>
      </c>
      <c r="AN43" s="118"/>
      <c r="AO43" s="143">
        <f>AO42-AO17</f>
        <v>-8.0050347938513795</v>
      </c>
      <c r="AP43" s="63"/>
      <c r="AQ43" s="143"/>
      <c r="AR43" s="194"/>
      <c r="AS43" s="207">
        <f>AS42-AS17</f>
        <v>24.699416128488053</v>
      </c>
      <c r="AT43" s="63"/>
      <c r="AU43" s="143"/>
      <c r="AV43" s="194"/>
      <c r="AW43" s="207">
        <f>AW42-AW17</f>
        <v>22.734693569364651</v>
      </c>
      <c r="AX43" s="216"/>
      <c r="AY43" s="187">
        <f>AY42-AY17</f>
        <v>0.33598821436916637</v>
      </c>
      <c r="AZ43" s="63"/>
      <c r="BA43" s="141"/>
      <c r="BB43" s="217"/>
      <c r="BC43" s="241">
        <f>BC42-BC17</f>
        <v>2.685527103100469</v>
      </c>
      <c r="BD43" s="216"/>
      <c r="BE43" s="187">
        <f>BE42-BE17</f>
        <v>3.207213823933273</v>
      </c>
      <c r="BF43" s="63"/>
      <c r="BG43" s="141"/>
      <c r="BH43" s="217"/>
      <c r="BI43" s="187">
        <f>BI42-BI17</f>
        <v>4.1077179041213867</v>
      </c>
      <c r="BJ43" s="216"/>
      <c r="BK43" s="187">
        <f>BK42-BK17</f>
        <v>-1.5423844500345751</v>
      </c>
      <c r="BL43" s="217"/>
      <c r="BM43" s="187">
        <f>BM42-BM17</f>
        <v>-1.4183771417240223</v>
      </c>
      <c r="BN43" s="63"/>
      <c r="BO43" s="143"/>
      <c r="BP43" s="217"/>
      <c r="BQ43" s="187">
        <f>BQ42-BQ17</f>
        <v>2.2142661915653434</v>
      </c>
      <c r="BR43" s="217"/>
      <c r="BS43" s="187">
        <f>BS42-BS17</f>
        <v>-0.46323717088205285</v>
      </c>
      <c r="BT43" s="63"/>
      <c r="BU43" s="143"/>
      <c r="BV43" s="216"/>
      <c r="BW43" s="187">
        <f>BW42-BW17</f>
        <v>0.65352919092610762</v>
      </c>
      <c r="BX43" s="63"/>
      <c r="BY43" s="141"/>
      <c r="BZ43" s="216"/>
      <c r="CA43" s="187">
        <f>CA42-CA17</f>
        <v>0.48831643880141939</v>
      </c>
      <c r="CB43" s="63"/>
      <c r="CC43" s="143"/>
    </row>
    <row r="44" spans="1:81" x14ac:dyDescent="0.3">
      <c r="A44" t="s">
        <v>56</v>
      </c>
      <c r="B44" s="117">
        <f>AVERAGE(B43:G43)</f>
        <v>-3.0155131985850119</v>
      </c>
      <c r="C44" s="141"/>
      <c r="D44" s="63"/>
      <c r="E44" s="101"/>
      <c r="F44" s="118"/>
      <c r="G44" s="141"/>
      <c r="H44" s="63"/>
      <c r="I44" s="101"/>
      <c r="J44" s="117"/>
      <c r="K44" s="141"/>
      <c r="L44" s="118"/>
      <c r="M44" s="141"/>
      <c r="N44" s="118"/>
      <c r="O44" s="143"/>
      <c r="P44" s="117"/>
      <c r="Q44" s="141"/>
      <c r="R44" s="117"/>
      <c r="S44" s="141"/>
      <c r="T44" s="183"/>
      <c r="U44" s="182"/>
      <c r="V44" s="118"/>
      <c r="W44" s="143"/>
      <c r="X44" s="183"/>
      <c r="Y44" s="182"/>
      <c r="Z44" s="118"/>
      <c r="AA44" s="143"/>
      <c r="AB44" s="183"/>
      <c r="AC44" s="182"/>
      <c r="AD44" s="118"/>
      <c r="AE44" s="141"/>
      <c r="AF44" s="117"/>
      <c r="AG44" s="141"/>
      <c r="AI44" s="141"/>
      <c r="AK44" s="101"/>
      <c r="AL44" s="117"/>
      <c r="AM44" s="141"/>
      <c r="AN44" s="118"/>
      <c r="AO44" s="143"/>
      <c r="AP44" s="63"/>
      <c r="AQ44" s="102"/>
      <c r="AR44" s="194"/>
      <c r="AS44" s="207"/>
      <c r="AT44" s="63"/>
      <c r="AU44" s="102"/>
      <c r="AV44" s="194"/>
      <c r="AW44" s="207"/>
      <c r="AX44" s="216"/>
      <c r="AY44" s="187"/>
      <c r="AZ44" s="63"/>
      <c r="BA44" s="101"/>
      <c r="BB44" s="217"/>
      <c r="BC44" s="241"/>
      <c r="BD44" s="216"/>
      <c r="BE44" s="187"/>
      <c r="BF44" s="63"/>
      <c r="BG44" s="101"/>
      <c r="BH44" s="217"/>
      <c r="BI44" s="187"/>
      <c r="BJ44" s="216"/>
      <c r="BK44" s="187"/>
      <c r="BL44" s="217"/>
      <c r="BM44" s="187"/>
      <c r="BN44" s="63"/>
      <c r="BO44" s="102"/>
      <c r="BP44" s="217"/>
      <c r="BQ44" s="187"/>
      <c r="BR44" s="217"/>
      <c r="BS44" s="187"/>
      <c r="BT44" s="63"/>
      <c r="BU44" s="102"/>
      <c r="BV44" s="216"/>
      <c r="BW44" s="187"/>
      <c r="BX44" s="63"/>
      <c r="BY44" s="101"/>
      <c r="BZ44" s="216"/>
      <c r="CA44" s="187"/>
      <c r="CB44" s="63"/>
      <c r="CC44" s="102"/>
    </row>
    <row r="45" spans="1:81" x14ac:dyDescent="0.3">
      <c r="A45" t="s">
        <v>57</v>
      </c>
      <c r="B45" s="117">
        <f>STDEV(B43:G43)</f>
        <v>1.8603428875169918</v>
      </c>
      <c r="C45" s="141"/>
      <c r="D45" s="63"/>
      <c r="E45" s="63"/>
      <c r="F45" s="118"/>
      <c r="G45" s="141"/>
      <c r="H45" s="63"/>
      <c r="I45" s="63"/>
      <c r="J45" s="117"/>
      <c r="K45" s="141"/>
      <c r="L45" s="118"/>
      <c r="M45" s="141"/>
      <c r="N45" s="118"/>
      <c r="O45" s="143"/>
      <c r="P45" s="117"/>
      <c r="Q45" s="141"/>
      <c r="R45" s="117"/>
      <c r="S45" s="141"/>
      <c r="T45" s="183"/>
      <c r="U45" s="182"/>
      <c r="V45" s="118"/>
      <c r="W45" s="143"/>
      <c r="X45" s="183"/>
      <c r="Y45" s="182"/>
      <c r="Z45" s="118"/>
      <c r="AA45" s="143"/>
      <c r="AB45" s="183"/>
      <c r="AC45" s="182"/>
      <c r="AD45" s="118"/>
      <c r="AE45" s="141"/>
      <c r="AF45" s="117"/>
      <c r="AG45" s="141"/>
      <c r="AI45" s="141"/>
      <c r="AL45" s="117"/>
      <c r="AM45" s="141"/>
      <c r="AN45" s="118"/>
      <c r="AO45" s="143"/>
      <c r="AP45" s="63"/>
      <c r="AQ45" s="64"/>
      <c r="AR45" s="194"/>
      <c r="AS45" s="207"/>
      <c r="AT45" s="63"/>
      <c r="AU45" s="64"/>
      <c r="AV45" s="194"/>
      <c r="AW45" s="207"/>
      <c r="AX45" s="216"/>
      <c r="AY45" s="187"/>
      <c r="AZ45" s="63"/>
      <c r="BA45" s="63"/>
      <c r="BB45" s="217"/>
      <c r="BC45" s="241"/>
      <c r="BD45" s="216"/>
      <c r="BE45" s="187"/>
      <c r="BF45" s="63"/>
      <c r="BG45" s="63"/>
      <c r="BH45" s="217"/>
      <c r="BI45" s="187"/>
      <c r="BJ45" s="216"/>
      <c r="BK45" s="187"/>
      <c r="BL45" s="217"/>
      <c r="BM45" s="187"/>
      <c r="BN45" s="63"/>
      <c r="BO45" s="64"/>
      <c r="BP45" s="217"/>
      <c r="BQ45" s="187"/>
      <c r="BR45" s="217"/>
      <c r="BS45" s="187"/>
      <c r="BT45" s="63"/>
      <c r="BU45" s="64"/>
      <c r="BV45" s="216"/>
      <c r="BW45" s="187"/>
      <c r="BX45" s="63"/>
      <c r="BY45" s="63"/>
      <c r="BZ45" s="216"/>
      <c r="CA45" s="187"/>
      <c r="CB45" s="63"/>
      <c r="CC45" s="64"/>
    </row>
    <row r="46" spans="1:81" x14ac:dyDescent="0.3">
      <c r="B46" s="117"/>
      <c r="C46" s="141"/>
      <c r="D46" s="63"/>
      <c r="E46" s="63"/>
      <c r="F46" s="118"/>
      <c r="G46" s="141"/>
      <c r="H46" s="63"/>
      <c r="I46" s="63"/>
      <c r="J46" s="117"/>
      <c r="K46" s="141"/>
      <c r="L46" s="118"/>
      <c r="M46" s="141"/>
      <c r="N46" s="118"/>
      <c r="O46" s="143"/>
      <c r="P46" s="117"/>
      <c r="Q46" s="141"/>
      <c r="R46" s="117"/>
      <c r="S46" s="141"/>
      <c r="T46" s="183"/>
      <c r="U46" s="182"/>
      <c r="V46" s="118"/>
      <c r="W46" s="143"/>
      <c r="X46" s="183"/>
      <c r="Y46" s="182"/>
      <c r="Z46" s="118"/>
      <c r="AA46" s="143"/>
      <c r="AB46" s="183"/>
      <c r="AC46" s="182"/>
      <c r="AD46" s="118"/>
      <c r="AE46" s="141"/>
      <c r="AF46" s="117"/>
      <c r="AG46" s="141"/>
      <c r="AI46" s="141"/>
      <c r="AL46" s="117"/>
      <c r="AM46" s="141"/>
      <c r="AN46" s="118"/>
      <c r="AO46" s="143"/>
      <c r="AP46" s="63"/>
      <c r="AQ46" s="64"/>
      <c r="AR46" s="194"/>
      <c r="AS46" s="207"/>
      <c r="AT46" s="63"/>
      <c r="AU46" s="64"/>
      <c r="AV46" s="194"/>
      <c r="AW46" s="207"/>
      <c r="AX46" s="216"/>
      <c r="AY46" s="187"/>
      <c r="AZ46" s="63"/>
      <c r="BA46" s="63"/>
      <c r="BB46" s="217"/>
      <c r="BC46" s="241"/>
      <c r="BD46" s="216"/>
      <c r="BE46" s="187"/>
      <c r="BF46" s="63"/>
      <c r="BG46" s="63"/>
      <c r="BH46" s="217"/>
      <c r="BI46" s="187"/>
      <c r="BJ46" s="216"/>
      <c r="BK46" s="187"/>
      <c r="BL46" s="217"/>
      <c r="BM46" s="187"/>
      <c r="BN46" s="63"/>
      <c r="BO46" s="64"/>
      <c r="BP46" s="217"/>
      <c r="BQ46" s="187"/>
      <c r="BR46" s="217"/>
      <c r="BS46" s="187"/>
      <c r="BT46" s="63"/>
      <c r="BU46" s="64"/>
      <c r="BV46" s="216"/>
      <c r="BW46" s="187"/>
      <c r="BX46" s="63"/>
      <c r="BY46" s="63"/>
      <c r="BZ46" s="216"/>
      <c r="CA46" s="187"/>
      <c r="CB46" s="63"/>
      <c r="CC46" s="64"/>
    </row>
    <row r="47" spans="1:81" x14ac:dyDescent="0.3">
      <c r="A47" t="s">
        <v>44</v>
      </c>
      <c r="B47" s="71">
        <f>-C36*SIN((C42)/180*PI())</f>
        <v>-1.5686846620081336</v>
      </c>
      <c r="C47" s="72">
        <f>C36*COS((C42)/180*PI())</f>
        <v>0.38240561227623582</v>
      </c>
      <c r="D47" s="63"/>
      <c r="E47" s="63"/>
      <c r="F47" s="72">
        <f>-G36*SIN((G42)/180*PI())</f>
        <v>-1.6834579638967559</v>
      </c>
      <c r="G47" s="72">
        <f>G36*COS((G42)/180*PI())</f>
        <v>0.49326561868682012</v>
      </c>
      <c r="H47" s="63"/>
      <c r="I47" s="63"/>
      <c r="J47" s="71">
        <f>-K36*SIN((K42)/180*PI())</f>
        <v>-0.95901970495148103</v>
      </c>
      <c r="K47" s="72">
        <f>K36*COS((K42)/180*PI())</f>
        <v>0.7436489422385445</v>
      </c>
      <c r="L47" s="72">
        <f>-M36*SIN((M42)/180*PI())</f>
        <v>-0.8688748766365717</v>
      </c>
      <c r="M47" s="72">
        <f>M36*COS((M42)/180*PI())</f>
        <v>0.79650911675158964</v>
      </c>
      <c r="N47" s="72">
        <f>-O36*SIN((O42)/180*PI())</f>
        <v>74.653352627132548</v>
      </c>
      <c r="O47" s="125">
        <f>O36*COS((O42)/180*PI())</f>
        <v>-0.15285724745468002</v>
      </c>
      <c r="P47" s="71">
        <f>-Q36*SIN((Q42)/180*PI())</f>
        <v>3.6913309719631959</v>
      </c>
      <c r="Q47" s="72">
        <f>Q36*COS((Q42)/180*PI())</f>
        <v>-9.8001534679526401</v>
      </c>
      <c r="R47" s="71">
        <f>-S36*SIN((S42)/180*PI())</f>
        <v>-0.34329521744448238</v>
      </c>
      <c r="S47" s="72">
        <f>S36*COS((S42)/180*PI())</f>
        <v>-2.2958344646078603</v>
      </c>
      <c r="T47" s="184">
        <f>-U36*SIN((U42)/180*PI())</f>
        <v>-0.4772914899003407</v>
      </c>
      <c r="U47" s="184">
        <f>U36*COS((U42)/180*PI())</f>
        <v>-1.6880564328406249</v>
      </c>
      <c r="V47" s="72">
        <f>-W36*SIN((W42)/180*PI())</f>
        <v>-1.8752745986852404</v>
      </c>
      <c r="W47" s="125">
        <f>W36*COS((W42)/180*PI())</f>
        <v>72.989914637094856</v>
      </c>
      <c r="X47" s="184">
        <f>-Y36*SIN((Y42)/180*PI())</f>
        <v>-2.5500736772917634</v>
      </c>
      <c r="Y47" s="184">
        <f>Y36*COS((Y42)/180*PI())</f>
        <v>6.6915763143880289</v>
      </c>
      <c r="Z47" s="72">
        <f>-AA36*SIN((AA42)/180*PI())</f>
        <v>-5.0312003337127154</v>
      </c>
      <c r="AA47" s="125">
        <f>AA36*COS((AA42)/180*PI())</f>
        <v>78.776601690083126</v>
      </c>
      <c r="AB47" s="184">
        <f>-AC36*SIN((AC42)/180*PI())</f>
        <v>5.8186916337435157</v>
      </c>
      <c r="AC47" s="184">
        <f>AC36*COS((AC42)/180*PI())</f>
        <v>-1.0720397055407724</v>
      </c>
      <c r="AD47" s="72">
        <f>-AE36*SIN((AE42)/180*PI())</f>
        <v>71.396929607130019</v>
      </c>
      <c r="AE47" s="72">
        <f>AE36*COS((AE42)/180*PI())</f>
        <v>-26.040827560059903</v>
      </c>
      <c r="AF47" s="71">
        <f>-AG36*SIN((AG42)/180*PI())</f>
        <v>-6.1986922833255749</v>
      </c>
      <c r="AG47" s="72">
        <f>AG36*COS((AG42)/180*PI())</f>
        <v>2.4280258515260624</v>
      </c>
      <c r="AH47" s="72">
        <f>-AI36*SIN((AI42)/180*PI())</f>
        <v>-0.78254517729152928</v>
      </c>
      <c r="AI47" s="72">
        <f>AI36*COS((AI42)/180*PI())</f>
        <v>0.76395056752371115</v>
      </c>
      <c r="AL47" s="71">
        <f>-AM36*SIN((AM42)/180*PI())</f>
        <v>-6.2004657680893658</v>
      </c>
      <c r="AM47" s="72">
        <f>AM36*COS((AM42)/180*PI())</f>
        <v>2.5159923907182362</v>
      </c>
      <c r="AN47" s="72">
        <f>-AO36*SIN((AO42)/180*PI())</f>
        <v>-0.68983387259682671</v>
      </c>
      <c r="AO47" s="125">
        <f>AO36*COS((AO42)/180*PI())</f>
        <v>0.91709880170174374</v>
      </c>
      <c r="AP47" s="63"/>
      <c r="AQ47" s="64"/>
      <c r="AR47" s="203">
        <f>-AS36*SIN((AS42)/180*PI())</f>
        <v>1.1965086807357468</v>
      </c>
      <c r="AS47" s="204">
        <f>AS36*COS((AS42)/180*PI())</f>
        <v>0.18201062370332435</v>
      </c>
      <c r="AT47" s="63"/>
      <c r="AU47" s="64"/>
      <c r="AV47" s="203">
        <f>-AW36*SIN((AW42)/180*PI())</f>
        <v>1.1741518825140413</v>
      </c>
      <c r="AW47" s="204">
        <f>AW36*COS((AW42)/180*PI())</f>
        <v>0.13761315519198455</v>
      </c>
      <c r="AX47" s="223">
        <f>-AY36*SIN((AY42)/180*PI())</f>
        <v>4.0041016907140747</v>
      </c>
      <c r="AY47" s="224">
        <f>AY36*COS((AY42)/180*PI())</f>
        <v>-3.6966921232231877</v>
      </c>
      <c r="AZ47" s="63"/>
      <c r="BA47" s="63"/>
      <c r="BB47" s="224">
        <f>-BC36*SIN((BC42)/180*PI())</f>
        <v>4.5141657369416031</v>
      </c>
      <c r="BC47" s="238">
        <f>BC36*COS((BC42)/180*PI())</f>
        <v>-3.8370322348669941</v>
      </c>
      <c r="BD47" s="223">
        <f>-BE36*SIN((BE42)/180*PI())</f>
        <v>2.2178482953579088</v>
      </c>
      <c r="BE47" s="224">
        <f>BE36*COS((BE42)/180*PI())</f>
        <v>1.2643824546306601</v>
      </c>
      <c r="BF47" s="63"/>
      <c r="BG47" s="63"/>
      <c r="BH47" s="224">
        <f>-BI36*SIN((BI42)/180*PI())</f>
        <v>2.1588431882847714</v>
      </c>
      <c r="BI47" s="224">
        <f>BI36*COS((BI42)/180*PI())</f>
        <v>1.276111748639462</v>
      </c>
      <c r="BJ47" s="223">
        <f>-BK36*SIN((BK42)/180*PI())</f>
        <v>-1.930162759902027</v>
      </c>
      <c r="BK47" s="224">
        <f>BK36*COS((BK42)/180*PI())</f>
        <v>0.80117291787011657</v>
      </c>
      <c r="BL47" s="224">
        <f>-BM36*SIN((BM42)/180*PI())</f>
        <v>6.905347819788477</v>
      </c>
      <c r="BM47" s="224">
        <f>BM36*COS((BM42)/180*PI())</f>
        <v>5.3143062256078553</v>
      </c>
      <c r="BN47" s="63"/>
      <c r="BO47" s="64"/>
      <c r="BP47" s="224">
        <f>-BQ36*SIN((BQ42)/180*PI())</f>
        <v>-1.7593918574755658</v>
      </c>
      <c r="BQ47" s="224">
        <f>BQ36*COS((BQ42)/180*PI())</f>
        <v>0.59845704204007377</v>
      </c>
      <c r="BR47" s="224">
        <f>-BS36*SIN((BS42)/180*PI())</f>
        <v>6.7466895969746981</v>
      </c>
      <c r="BS47" s="224">
        <f>BS36*COS((BS42)/180*PI())</f>
        <v>5.3736306997340924</v>
      </c>
      <c r="BT47" s="63"/>
      <c r="BU47" s="64"/>
      <c r="BV47" s="223">
        <f>-BW36*SIN((BW42)/180*PI())</f>
        <v>-3.8043881759307259</v>
      </c>
      <c r="BW47" s="224">
        <f>BW36*COS((BW42)/180*PI())</f>
        <v>2.3557395507364474</v>
      </c>
      <c r="BX47" s="63"/>
      <c r="BY47" s="63"/>
      <c r="BZ47" s="223">
        <f>-CA36*SIN((CA42)/180*PI())</f>
        <v>-3.8280419354074686</v>
      </c>
      <c r="CA47" s="224">
        <f>CA36*COS((CA42)/180*PI())</f>
        <v>2.3856842465299382</v>
      </c>
      <c r="CB47" s="63"/>
      <c r="CC47" s="64"/>
    </row>
    <row r="48" spans="1:81" s="10" customFormat="1" x14ac:dyDescent="0.3">
      <c r="A48" t="s">
        <v>45</v>
      </c>
      <c r="B48" s="71">
        <f>B47-B18</f>
        <v>9.416625923933597E-2</v>
      </c>
      <c r="C48" s="72">
        <f>C47-C18</f>
        <v>2.8955737886045108E-2</v>
      </c>
      <c r="D48" s="63"/>
      <c r="E48" s="63"/>
      <c r="F48" s="72">
        <f>F47-F18</f>
        <v>-2.0607042649286367E-2</v>
      </c>
      <c r="G48" s="72">
        <f>G47-G18</f>
        <v>0.13981574429662941</v>
      </c>
      <c r="H48" s="63"/>
      <c r="I48" s="63"/>
      <c r="J48" s="71">
        <f>J47-J18</f>
        <v>-6.6723535987414984E-2</v>
      </c>
      <c r="K48" s="72">
        <f>K47-K18</f>
        <v>-0.15020593795848769</v>
      </c>
      <c r="L48" s="72">
        <f t="shared" ref="L48:Q48" si="15">L47-L18</f>
        <v>2.3421292327494347E-2</v>
      </c>
      <c r="M48" s="72">
        <f t="shared" si="15"/>
        <v>-9.7345763445442546E-2</v>
      </c>
      <c r="N48" s="72">
        <f t="shared" si="15"/>
        <v>-0.14779502675175138</v>
      </c>
      <c r="O48" s="125">
        <f t="shared" si="15"/>
        <v>-0.1528572474546846</v>
      </c>
      <c r="P48" s="71">
        <f t="shared" si="15"/>
        <v>-0.17266713725690241</v>
      </c>
      <c r="Q48" s="72">
        <f t="shared" si="15"/>
        <v>-1.1214716203479291</v>
      </c>
      <c r="R48" s="71">
        <f t="shared" ref="R48:AI48" si="16">R47-R18</f>
        <v>0.20411756102751172</v>
      </c>
      <c r="S48" s="72">
        <f t="shared" si="16"/>
        <v>-0.1340668429691303</v>
      </c>
      <c r="T48" s="184">
        <f t="shared" si="16"/>
        <v>7.0121288571653395E-2</v>
      </c>
      <c r="U48" s="184">
        <f t="shared" si="16"/>
        <v>0.47371118879810514</v>
      </c>
      <c r="V48" s="72">
        <f t="shared" si="16"/>
        <v>-77.038057293225492</v>
      </c>
      <c r="W48" s="125">
        <f t="shared" si="16"/>
        <v>72.989914637094856</v>
      </c>
      <c r="X48" s="184">
        <f t="shared" ref="X48:AE48" si="17">X47-X18</f>
        <v>3.9820854857708925</v>
      </c>
      <c r="Y48" s="184">
        <f t="shared" si="17"/>
        <v>5.3376421696023284</v>
      </c>
      <c r="Z48" s="72">
        <f t="shared" si="17"/>
        <v>-77.057965429179461</v>
      </c>
      <c r="AA48" s="125">
        <f t="shared" si="17"/>
        <v>78.776601690083126</v>
      </c>
      <c r="AB48" s="184">
        <f t="shared" si="17"/>
        <v>6.371490382952369</v>
      </c>
      <c r="AC48" s="184">
        <f t="shared" si="17"/>
        <v>1.0935176229253034</v>
      </c>
      <c r="AD48" s="72">
        <f t="shared" si="17"/>
        <v>-0.62983548833672387</v>
      </c>
      <c r="AE48" s="72">
        <f t="shared" si="17"/>
        <v>-26.040827560059906</v>
      </c>
      <c r="AF48" s="71">
        <f t="shared" si="16"/>
        <v>-0.68475064446692535</v>
      </c>
      <c r="AG48" s="72">
        <f t="shared" si="16"/>
        <v>0.28155511954279477</v>
      </c>
      <c r="AH48" s="72">
        <f t="shared" si="16"/>
        <v>-5.6914470294072372E-2</v>
      </c>
      <c r="AI48" s="72">
        <f t="shared" si="16"/>
        <v>3.7184389814283958E-2</v>
      </c>
      <c r="AJ48" s="63"/>
      <c r="AK48" s="63"/>
      <c r="AL48" s="71">
        <f>AL47-AL18</f>
        <v>-0.68652412923071626</v>
      </c>
      <c r="AM48" s="72">
        <f>AM47-AM18</f>
        <v>0.36952165873496856</v>
      </c>
      <c r="AN48" s="72">
        <f>AN47-AN18</f>
        <v>3.5796834400630195E-2</v>
      </c>
      <c r="AO48" s="125">
        <f>AO47-AO18</f>
        <v>0.19033262399231654</v>
      </c>
      <c r="AP48" s="63"/>
      <c r="AQ48" s="64"/>
      <c r="AR48" s="203">
        <f>AR47-AR18</f>
        <v>-0.34016356403731596</v>
      </c>
      <c r="AS48" s="204">
        <f>AS47-AS18</f>
        <v>0.62409592332786046</v>
      </c>
      <c r="AT48" s="63"/>
      <c r="AU48" s="64"/>
      <c r="AV48" s="203">
        <f>AV47-AV18</f>
        <v>-0.3625203622590214</v>
      </c>
      <c r="AW48" s="204">
        <f>AW47-AW18</f>
        <v>0.5796984548165206</v>
      </c>
      <c r="AX48" s="223">
        <f>AX47-AX18</f>
        <v>-9.1067639638982456E-2</v>
      </c>
      <c r="AY48" s="224">
        <f>AY47-AY18</f>
        <v>0.12880185216557205</v>
      </c>
      <c r="AZ48" s="63"/>
      <c r="BA48" s="63"/>
      <c r="BB48" s="224">
        <f>BB47-BB18</f>
        <v>0.41899640658854587</v>
      </c>
      <c r="BC48" s="238">
        <f>BC47-BC18</f>
        <v>-1.1538259478234281E-2</v>
      </c>
      <c r="BD48" s="223">
        <f>BD47-BD18</f>
        <v>-0.364486526286385</v>
      </c>
      <c r="BE48" s="224">
        <f>BE47-BE18</f>
        <v>-2.1996909679624643E-2</v>
      </c>
      <c r="BF48" s="63"/>
      <c r="BG48" s="63"/>
      <c r="BH48" s="224">
        <f t="shared" ref="BH48:BM48" si="18">BH47-BH18</f>
        <v>-0.42349163335952245</v>
      </c>
      <c r="BI48" s="224">
        <f t="shared" si="18"/>
        <v>-1.0267615670822794E-2</v>
      </c>
      <c r="BJ48" s="223">
        <f t="shared" si="18"/>
        <v>-0.18250020149926516</v>
      </c>
      <c r="BK48" s="224">
        <f t="shared" si="18"/>
        <v>0.13030811632131467</v>
      </c>
      <c r="BL48" s="224">
        <f t="shared" si="18"/>
        <v>0.2218925512585237</v>
      </c>
      <c r="BM48" s="224">
        <f t="shared" si="18"/>
        <v>-9.7849137420741528E-2</v>
      </c>
      <c r="BN48" s="63"/>
      <c r="BO48" s="64"/>
      <c r="BP48" s="224">
        <f>BP47-BP18</f>
        <v>-1.1729299072803956E-2</v>
      </c>
      <c r="BQ48" s="224">
        <f>BQ47-BQ18</f>
        <v>-7.2407759508728131E-2</v>
      </c>
      <c r="BR48" s="224">
        <f>BR47-BR18</f>
        <v>6.3234328444744747E-2</v>
      </c>
      <c r="BS48" s="224">
        <f>BS47-BS18</f>
        <v>-3.8524663294504435E-2</v>
      </c>
      <c r="BT48" s="63"/>
      <c r="BU48" s="64"/>
      <c r="BV48" s="223">
        <f>BV47-BV18</f>
        <v>6.9374116942310771E-2</v>
      </c>
      <c r="BW48" s="224">
        <f>BW47-BW18</f>
        <v>-0.10452195941141396</v>
      </c>
      <c r="BX48" s="63"/>
      <c r="BY48" s="63"/>
      <c r="BZ48" s="223">
        <f>BZ47-BZ18</f>
        <v>4.5720357465568018E-2</v>
      </c>
      <c r="CA48" s="224">
        <f>CA47-CA18</f>
        <v>-7.4577263617923162E-2</v>
      </c>
      <c r="CB48" s="63"/>
      <c r="CC48" s="64"/>
    </row>
    <row r="49" spans="1:81" x14ac:dyDescent="0.3">
      <c r="A49" t="s">
        <v>46</v>
      </c>
      <c r="B49" s="117">
        <f>B48^2</f>
        <v>8.8672843791298261E-3</v>
      </c>
      <c r="C49" s="118">
        <f>C48^2</f>
        <v>8.38434756525348E-4</v>
      </c>
      <c r="D49" s="63"/>
      <c r="E49" s="63"/>
      <c r="F49" s="118">
        <f>F48^2</f>
        <v>4.2465020674950727E-4</v>
      </c>
      <c r="G49" s="118">
        <f>G48^2</f>
        <v>1.9548442353220459E-2</v>
      </c>
      <c r="H49" s="63"/>
      <c r="I49" s="63"/>
      <c r="J49" s="117">
        <f>J48^2</f>
        <v>4.4520302546638621E-3</v>
      </c>
      <c r="K49" s="118">
        <f>K48^2</f>
        <v>2.2561823797989052E-2</v>
      </c>
      <c r="L49" s="118">
        <f t="shared" ref="L49:Q49" si="19">L48^2</f>
        <v>5.485569342899456E-4</v>
      </c>
      <c r="M49" s="118">
        <f t="shared" si="19"/>
        <v>9.4761976607760576E-3</v>
      </c>
      <c r="N49" s="118">
        <f t="shared" si="19"/>
        <v>2.1843369932550906E-2</v>
      </c>
      <c r="O49" s="128">
        <f t="shared" si="19"/>
        <v>2.3365338099422681E-2</v>
      </c>
      <c r="P49" s="117">
        <f t="shared" si="19"/>
        <v>2.9813940288493979E-2</v>
      </c>
      <c r="Q49" s="118">
        <f t="shared" si="19"/>
        <v>1.2576985952458097</v>
      </c>
      <c r="R49" s="117">
        <f t="shared" ref="R49:AI49" si="20">R48^2</f>
        <v>4.1663978719819972E-2</v>
      </c>
      <c r="S49" s="118">
        <f t="shared" si="20"/>
        <v>1.7973918383709441E-2</v>
      </c>
      <c r="T49" s="183">
        <f t="shared" si="20"/>
        <v>4.9169951109490889E-3</v>
      </c>
      <c r="U49" s="183">
        <f t="shared" si="20"/>
        <v>0.22440229039251403</v>
      </c>
      <c r="V49" s="118">
        <f t="shared" si="20"/>
        <v>5934.8622715142938</v>
      </c>
      <c r="W49" s="128">
        <f t="shared" si="20"/>
        <v>5327.5276387303938</v>
      </c>
      <c r="X49" s="183">
        <f t="shared" ref="X49:AE49" si="21">X48^2</f>
        <v>15.857004815987205</v>
      </c>
      <c r="Y49" s="183">
        <f t="shared" si="21"/>
        <v>28.49042393071705</v>
      </c>
      <c r="Z49" s="118">
        <f t="shared" si="21"/>
        <v>5937.9300360846173</v>
      </c>
      <c r="AA49" s="128">
        <f t="shared" si="21"/>
        <v>6205.7529738380081</v>
      </c>
      <c r="AB49" s="183">
        <f t="shared" si="21"/>
        <v>40.595889700054528</v>
      </c>
      <c r="AC49" s="183">
        <f t="shared" si="21"/>
        <v>1.1957807916482062</v>
      </c>
      <c r="AD49" s="118">
        <f t="shared" si="21"/>
        <v>0.39669274236835944</v>
      </c>
      <c r="AE49" s="118">
        <f t="shared" si="21"/>
        <v>678.12470001277552</v>
      </c>
      <c r="AF49" s="117">
        <f t="shared" si="20"/>
        <v>0.46888344509786961</v>
      </c>
      <c r="AG49" s="118">
        <f t="shared" si="20"/>
        <v>7.9273285340757449E-2</v>
      </c>
      <c r="AH49" s="118">
        <f t="shared" si="20"/>
        <v>3.2392569288548466E-3</v>
      </c>
      <c r="AI49" s="118">
        <f t="shared" si="20"/>
        <v>1.3826788458606246E-3</v>
      </c>
      <c r="AL49" s="117">
        <f>AL48^2</f>
        <v>0.47131538001599321</v>
      </c>
      <c r="AM49" s="118">
        <f>AM48^2</f>
        <v>0.13654625627424258</v>
      </c>
      <c r="AN49" s="118">
        <f>AN48^2</f>
        <v>1.2814133531061415E-3</v>
      </c>
      <c r="AO49" s="128">
        <f>AO48^2</f>
        <v>3.6226507755800552E-2</v>
      </c>
      <c r="AP49" s="63"/>
      <c r="AQ49" s="64"/>
      <c r="AR49" s="194">
        <f>AR48^2</f>
        <v>0.11571125029856916</v>
      </c>
      <c r="AS49" s="195">
        <f>AS48^2</f>
        <v>0.38949572151445466</v>
      </c>
      <c r="AT49" s="63"/>
      <c r="AU49" s="64"/>
      <c r="AV49" s="194">
        <f>AV48^2</f>
        <v>0.13142101305241211</v>
      </c>
      <c r="AW49" s="195">
        <f>AW48^2</f>
        <v>0.33605029851666157</v>
      </c>
      <c r="AX49" s="216">
        <f>AX48^2</f>
        <v>8.2933149894155681E-3</v>
      </c>
      <c r="AY49" s="217">
        <f>AY48^2</f>
        <v>1.6589917121281876E-2</v>
      </c>
      <c r="AZ49" s="63"/>
      <c r="BA49" s="63"/>
      <c r="BB49" s="217">
        <f>BB48^2</f>
        <v>0.17555798873411405</v>
      </c>
      <c r="BC49" s="235">
        <f>BC48^2</f>
        <v>1.3313143178706323E-4</v>
      </c>
      <c r="BD49" s="216">
        <f>BD48^2</f>
        <v>0.13285042784431564</v>
      </c>
      <c r="BE49" s="217">
        <f>BE48^2</f>
        <v>4.8386403545356432E-4</v>
      </c>
      <c r="BF49" s="63"/>
      <c r="BG49" s="63"/>
      <c r="BH49" s="217">
        <f t="shared" ref="BH49:BM49" si="22">BH48^2</f>
        <v>0.17934516352551619</v>
      </c>
      <c r="BI49" s="217">
        <f t="shared" si="22"/>
        <v>1.0542393156372581E-4</v>
      </c>
      <c r="BJ49" s="216">
        <f t="shared" si="22"/>
        <v>3.3306323547272386E-2</v>
      </c>
      <c r="BK49" s="217">
        <f t="shared" si="22"/>
        <v>1.6980205179209274E-2</v>
      </c>
      <c r="BL49" s="217">
        <f t="shared" si="22"/>
        <v>4.9236304304016563E-2</v>
      </c>
      <c r="BM49" s="217">
        <f t="shared" si="22"/>
        <v>9.5744536939831593E-3</v>
      </c>
      <c r="BN49" s="63"/>
      <c r="BO49" s="64"/>
      <c r="BP49" s="217">
        <f>BP48^2</f>
        <v>1.3757645673927974E-4</v>
      </c>
      <c r="BQ49" s="217">
        <f>BQ48^2</f>
        <v>5.2428836370738089E-3</v>
      </c>
      <c r="BR49" s="217">
        <f>BR48^2</f>
        <v>3.9985802938578546E-3</v>
      </c>
      <c r="BS49" s="217">
        <f>BS48^2</f>
        <v>1.4841496819549373E-3</v>
      </c>
      <c r="BT49" s="63"/>
      <c r="BU49" s="64"/>
      <c r="BV49" s="216">
        <f>BV48^2</f>
        <v>4.8127681015254107E-3</v>
      </c>
      <c r="BW49" s="217">
        <f>BW48^2</f>
        <v>1.0924839999201267E-2</v>
      </c>
      <c r="BX49" s="63"/>
      <c r="BY49" s="63"/>
      <c r="BZ49" s="216">
        <f>BZ48^2</f>
        <v>2.090351086779321E-3</v>
      </c>
      <c r="CA49" s="217">
        <f>CA48^2</f>
        <v>5.5617682487372061E-3</v>
      </c>
      <c r="CB49" s="63"/>
      <c r="CC49" s="64"/>
    </row>
    <row r="50" spans="1:81" s="10" customFormat="1" x14ac:dyDescent="0.3">
      <c r="A50" t="s">
        <v>47</v>
      </c>
      <c r="B50" s="71"/>
      <c r="C50" s="72">
        <f>SQRT(B49+C49)</f>
        <v>9.8517608251800212E-2</v>
      </c>
      <c r="D50" s="63"/>
      <c r="E50" s="63"/>
      <c r="F50" s="72"/>
      <c r="G50" s="72">
        <f>SQRT(F49+G49)</f>
        <v>0.14132619205218108</v>
      </c>
      <c r="H50" s="63"/>
      <c r="I50" s="63"/>
      <c r="J50" s="71"/>
      <c r="K50" s="72">
        <f>SQRT(J49+K49)</f>
        <v>0.16435891838489602</v>
      </c>
      <c r="L50" s="72"/>
      <c r="M50" s="72">
        <f>SQRT(L49+M49)</f>
        <v>0.10012369647124503</v>
      </c>
      <c r="N50" s="72"/>
      <c r="O50" s="125">
        <f>SQRT(N49+O49)</f>
        <v>0.2126233948369125</v>
      </c>
      <c r="P50" s="71"/>
      <c r="Q50" s="72">
        <f>SQRT(P49+Q49)</f>
        <v>1.134686095593977</v>
      </c>
      <c r="R50" s="71"/>
      <c r="S50" s="72">
        <f>SQRT(R49+S49)</f>
        <v>0.24420871627263721</v>
      </c>
      <c r="T50" s="184"/>
      <c r="U50" s="184">
        <f>SQRT(T49+U49)</f>
        <v>0.47887293252329799</v>
      </c>
      <c r="V50" s="72"/>
      <c r="W50" s="125">
        <f>SQRT(V49+W49)</f>
        <v>106.1244077026802</v>
      </c>
      <c r="X50" s="184"/>
      <c r="Y50" s="184">
        <f>SQRT(X49+Y49)</f>
        <v>6.6593865142897553</v>
      </c>
      <c r="Z50" s="72"/>
      <c r="AA50" s="125">
        <f>SQRT(Z49+AA49)</f>
        <v>110.19838025090307</v>
      </c>
      <c r="AB50" s="184"/>
      <c r="AC50" s="184">
        <f>SQRT(AB49+AC49)</f>
        <v>6.4646477469157384</v>
      </c>
      <c r="AD50" s="72"/>
      <c r="AE50" s="72">
        <f>SQRT(AD49+AE49)</f>
        <v>26.048443192543079</v>
      </c>
      <c r="AF50" s="71"/>
      <c r="AG50" s="72">
        <f>SQRT(AF49+AG49)</f>
        <v>0.74037607365353653</v>
      </c>
      <c r="AH50" s="72"/>
      <c r="AI50" s="72">
        <f>SQRT(AH49+AI49)</f>
        <v>6.7984820178591865E-2</v>
      </c>
      <c r="AJ50" s="63"/>
      <c r="AK50" s="63"/>
      <c r="AL50" s="71"/>
      <c r="AM50" s="72">
        <f>SQRT(AL49+AM49)</f>
        <v>0.779654818679546</v>
      </c>
      <c r="AN50" s="72"/>
      <c r="AO50" s="125">
        <f>SQRT(AN49+AO49)</f>
        <v>0.19366961844570948</v>
      </c>
      <c r="AP50" s="63"/>
      <c r="AQ50" s="64"/>
      <c r="AR50" s="203"/>
      <c r="AS50" s="204">
        <f>SQRT(AR49+AS49)</f>
        <v>0.71077913011921212</v>
      </c>
      <c r="AT50" s="63"/>
      <c r="AU50" s="64"/>
      <c r="AV50" s="203"/>
      <c r="AW50" s="204">
        <f>SQRT(AV49+AW49)</f>
        <v>0.68371873717858112</v>
      </c>
      <c r="AX50" s="223"/>
      <c r="AY50" s="224">
        <f>SQRT(AX49+AY49)</f>
        <v>0.15774419834243492</v>
      </c>
      <c r="AZ50" s="63"/>
      <c r="BA50" s="63"/>
      <c r="BB50" s="224"/>
      <c r="BC50" s="238">
        <f>SQRT(BB49+BC49)</f>
        <v>0.41915524590049102</v>
      </c>
      <c r="BD50" s="223"/>
      <c r="BE50" s="224">
        <f>SQRT(BD49+BE49)</f>
        <v>0.36514968421151511</v>
      </c>
      <c r="BF50" s="63"/>
      <c r="BG50" s="63"/>
      <c r="BH50" s="224"/>
      <c r="BI50" s="224">
        <f>SQRT(BH49+BI49)</f>
        <v>0.42361608498389192</v>
      </c>
      <c r="BJ50" s="223"/>
      <c r="BK50" s="224">
        <f>SQRT(BJ49+BK49)</f>
        <v>0.22424658018904473</v>
      </c>
      <c r="BL50" s="224"/>
      <c r="BM50" s="224">
        <f>SQRT(BL49+BM49)</f>
        <v>0.24250929466311125</v>
      </c>
      <c r="BN50" s="63"/>
      <c r="BO50" s="64"/>
      <c r="BP50" s="224"/>
      <c r="BQ50" s="224">
        <f>SQRT(BP49+BQ49)</f>
        <v>7.3351619571847826E-2</v>
      </c>
      <c r="BR50" s="224"/>
      <c r="BS50" s="224">
        <f>SQRT(BR49+BS49)</f>
        <v>7.4045458846662512E-2</v>
      </c>
      <c r="BT50" s="63"/>
      <c r="BU50" s="64"/>
      <c r="BV50" s="223"/>
      <c r="BW50" s="224">
        <f>SQRT(BV49+BW49)</f>
        <v>0.12544962375681593</v>
      </c>
      <c r="BX50" s="63"/>
      <c r="BY50" s="63"/>
      <c r="BZ50" s="223"/>
      <c r="CA50" s="224">
        <f>SQRT(BZ49+CA49)</f>
        <v>8.7476393018439708E-2</v>
      </c>
      <c r="CB50" s="63"/>
      <c r="CC50" s="64"/>
    </row>
    <row r="51" spans="1:81" s="10" customFormat="1" x14ac:dyDescent="0.3">
      <c r="A51" t="s">
        <v>48</v>
      </c>
      <c r="B51" s="71"/>
      <c r="C51" s="77">
        <f>C50/C36</f>
        <v>6.1015879539940053E-2</v>
      </c>
      <c r="D51" s="63"/>
      <c r="E51" s="63"/>
      <c r="F51" s="72"/>
      <c r="G51" s="77">
        <f>G50/G36</f>
        <v>8.0562845521471388E-2</v>
      </c>
      <c r="H51" s="63"/>
      <c r="I51" s="63"/>
      <c r="J51" s="71"/>
      <c r="K51" s="77">
        <f>K50/K36</f>
        <v>0.13543513117246284</v>
      </c>
      <c r="L51" s="72"/>
      <c r="M51" s="77">
        <f>M50/M36</f>
        <v>8.4943052900042351E-2</v>
      </c>
      <c r="N51" s="72"/>
      <c r="O51" s="158">
        <f>O50/O36</f>
        <v>2.8481366428126098E-3</v>
      </c>
      <c r="P51" s="71"/>
      <c r="Q51" s="77">
        <f>Q50/Q36</f>
        <v>0.10835124984212581</v>
      </c>
      <c r="R51" s="71"/>
      <c r="S51" s="77">
        <f>S50/S36</f>
        <v>0.10520075473169661</v>
      </c>
      <c r="T51" s="184"/>
      <c r="U51" s="134">
        <f>U50/U36</f>
        <v>0.27298100604765463</v>
      </c>
      <c r="V51" s="72"/>
      <c r="W51" s="158">
        <f>W50/W36</f>
        <v>1.4534802466884977</v>
      </c>
      <c r="X51" s="184"/>
      <c r="Y51" s="134">
        <f>Y50/Y36</f>
        <v>0.92995068886065024</v>
      </c>
      <c r="Z51" s="72"/>
      <c r="AA51" s="158">
        <f>AA50/AA36</f>
        <v>1.3960277047602354</v>
      </c>
      <c r="AB51" s="184"/>
      <c r="AC51" s="134">
        <f>AC50/AC36</f>
        <v>1.0926243701378793</v>
      </c>
      <c r="AD51" s="72"/>
      <c r="AE51" s="77">
        <f>AE50/AE36</f>
        <v>0.34275316945476797</v>
      </c>
      <c r="AF51" s="71"/>
      <c r="AG51" s="77">
        <f>AG50/AG36</f>
        <v>0.11121335206770572</v>
      </c>
      <c r="AH51" s="72"/>
      <c r="AI51" s="77">
        <f>AI50/AI36</f>
        <v>6.2165127829543407E-2</v>
      </c>
      <c r="AJ51" s="63"/>
      <c r="AK51" s="63"/>
      <c r="AL51" s="71"/>
      <c r="AM51" s="77">
        <f>AM50/AM36</f>
        <v>0.11651444001031042</v>
      </c>
      <c r="AN51" s="72"/>
      <c r="AO51" s="158">
        <f>AO50/AO36</f>
        <v>0.16876342873097558</v>
      </c>
      <c r="AP51" s="63"/>
      <c r="AQ51" s="64"/>
      <c r="AR51" s="203"/>
      <c r="AS51" s="209">
        <f>AS50/AS36</f>
        <v>0.58728823360120719</v>
      </c>
      <c r="AT51" s="63"/>
      <c r="AU51" s="64"/>
      <c r="AV51" s="203"/>
      <c r="AW51" s="209">
        <f>AW50/AW36</f>
        <v>0.57834993797955025</v>
      </c>
      <c r="AX51" s="223"/>
      <c r="AY51" s="227">
        <f>AY50/AY36</f>
        <v>2.8945905482918751E-2</v>
      </c>
      <c r="AZ51" s="63"/>
      <c r="BA51" s="63"/>
      <c r="BB51" s="224"/>
      <c r="BC51" s="243">
        <f>BC50/BC36</f>
        <v>7.074865709479064E-2</v>
      </c>
      <c r="BD51" s="223"/>
      <c r="BE51" s="227">
        <f>BE50/BE36</f>
        <v>0.14303092301658041</v>
      </c>
      <c r="BF51" s="63"/>
      <c r="BG51" s="63"/>
      <c r="BH51" s="224"/>
      <c r="BI51" s="227">
        <f>BI50/BI36</f>
        <v>0.16891934814950785</v>
      </c>
      <c r="BJ51" s="223"/>
      <c r="BK51" s="227">
        <f>BK50/BK36</f>
        <v>0.10730353494975571</v>
      </c>
      <c r="BL51" s="224"/>
      <c r="BM51" s="227">
        <f>BM50/BM36</f>
        <v>2.7831335441168198E-2</v>
      </c>
      <c r="BN51" s="63"/>
      <c r="BO51" s="64"/>
      <c r="BP51" s="224"/>
      <c r="BQ51" s="227">
        <f>BQ50/BQ36</f>
        <v>3.9470536252945818E-2</v>
      </c>
      <c r="BR51" s="224"/>
      <c r="BS51" s="227">
        <f>BS50/BS36</f>
        <v>8.5848017257854764E-3</v>
      </c>
      <c r="BT51" s="63"/>
      <c r="BU51" s="64"/>
      <c r="BV51" s="223"/>
      <c r="BW51" s="227">
        <f>BW50/BW36</f>
        <v>2.8035358250033754E-2</v>
      </c>
      <c r="BX51" s="63"/>
      <c r="BY51" s="63"/>
      <c r="BZ51" s="223"/>
      <c r="CA51" s="227">
        <f>CA50/CA36</f>
        <v>1.9393572172722952E-2</v>
      </c>
      <c r="CB51" s="63"/>
      <c r="CC51" s="64"/>
    </row>
    <row r="52" spans="1:81" s="10" customFormat="1" x14ac:dyDescent="0.3">
      <c r="A52"/>
      <c r="B52" s="71"/>
      <c r="C52" s="144"/>
      <c r="D52" s="63"/>
      <c r="E52" s="63"/>
      <c r="F52" s="72"/>
      <c r="G52" s="144"/>
      <c r="H52" s="63"/>
      <c r="I52" s="63"/>
      <c r="J52" s="71"/>
      <c r="K52" s="144"/>
      <c r="L52" s="72"/>
      <c r="M52" s="144"/>
      <c r="N52" s="72"/>
      <c r="O52" s="159"/>
      <c r="P52" s="71"/>
      <c r="Q52" s="144"/>
      <c r="R52" s="71"/>
      <c r="S52" s="144"/>
      <c r="T52" s="184"/>
      <c r="U52" s="135"/>
      <c r="V52" s="63"/>
      <c r="W52" s="64"/>
      <c r="X52" s="184"/>
      <c r="Y52" s="135"/>
      <c r="Z52" s="63"/>
      <c r="AA52" s="64"/>
      <c r="AB52" s="184"/>
      <c r="AC52" s="135"/>
      <c r="AD52" s="63"/>
      <c r="AE52" s="63"/>
      <c r="AF52" s="71"/>
      <c r="AG52" s="144"/>
      <c r="AH52" s="72"/>
      <c r="AI52" s="144"/>
      <c r="AJ52" s="63"/>
      <c r="AK52" s="63"/>
      <c r="AL52" s="71"/>
      <c r="AM52" s="144"/>
      <c r="AN52" s="72"/>
      <c r="AO52" s="159"/>
      <c r="AP52" s="63"/>
      <c r="AQ52" s="64"/>
      <c r="AR52" s="203"/>
      <c r="AS52" s="210"/>
      <c r="AT52" s="63"/>
      <c r="AU52" s="64"/>
      <c r="AV52" s="203"/>
      <c r="AW52" s="210"/>
      <c r="AX52" s="223"/>
      <c r="AY52" s="228"/>
      <c r="AZ52" s="63"/>
      <c r="BA52" s="63"/>
      <c r="BB52" s="224"/>
      <c r="BC52" s="244"/>
      <c r="BD52" s="223"/>
      <c r="BE52" s="228"/>
      <c r="BF52" s="63"/>
      <c r="BG52" s="63"/>
      <c r="BH52" s="224"/>
      <c r="BI52" s="228"/>
      <c r="BJ52" s="223"/>
      <c r="BK52" s="228"/>
      <c r="BL52" s="224"/>
      <c r="BM52" s="228"/>
      <c r="BN52" s="63"/>
      <c r="BO52" s="64"/>
      <c r="BP52" s="224"/>
      <c r="BQ52" s="228"/>
      <c r="BR52" s="224"/>
      <c r="BS52" s="228"/>
      <c r="BT52" s="63"/>
      <c r="BU52" s="64"/>
      <c r="BV52" s="223"/>
      <c r="BW52" s="228"/>
      <c r="BX52" s="63"/>
      <c r="BY52" s="63"/>
      <c r="BZ52" s="223"/>
      <c r="CA52" s="228"/>
      <c r="CB52" s="63"/>
      <c r="CC52" s="64"/>
    </row>
    <row r="53" spans="1:81" s="10" customFormat="1" x14ac:dyDescent="0.3">
      <c r="A53" t="s">
        <v>89</v>
      </c>
      <c r="B53" s="71">
        <f>MEDIAN(B50:G50)</f>
        <v>0.11992190015199064</v>
      </c>
      <c r="C53" s="144"/>
      <c r="D53" s="63"/>
      <c r="E53" s="63"/>
      <c r="F53" s="72"/>
      <c r="G53" s="144"/>
      <c r="H53" s="63"/>
      <c r="I53" s="63"/>
      <c r="J53" s="71">
        <f>MEDIAN(J50:M50)</f>
        <v>0.13224130742807053</v>
      </c>
      <c r="K53" s="144"/>
      <c r="L53" s="72"/>
      <c r="M53" s="144"/>
      <c r="N53" s="72"/>
      <c r="O53" s="159"/>
      <c r="P53" s="71"/>
      <c r="Q53" s="144"/>
      <c r="R53" s="71">
        <f>MEDIAN(S50,U50)</f>
        <v>0.36154082439796759</v>
      </c>
      <c r="S53" s="144"/>
      <c r="T53" s="184"/>
      <c r="U53" s="135"/>
      <c r="V53" s="63"/>
      <c r="W53" s="64"/>
      <c r="X53" s="184"/>
      <c r="Y53" s="135"/>
      <c r="Z53" s="63"/>
      <c r="AA53" s="64"/>
      <c r="AB53" s="184"/>
      <c r="AC53" s="135"/>
      <c r="AD53" s="63"/>
      <c r="AE53" s="63"/>
      <c r="AF53" s="71">
        <f>MEDIAN(AG50,AM50)</f>
        <v>0.76001544616654126</v>
      </c>
      <c r="AG53" s="144"/>
      <c r="AH53" s="72">
        <f>MEDIAN(AI50,AO50)</f>
        <v>0.13082721931215069</v>
      </c>
      <c r="AI53" s="144"/>
      <c r="AJ53" s="63"/>
      <c r="AK53" s="63"/>
      <c r="AL53" s="71"/>
      <c r="AM53" s="144"/>
      <c r="AN53" s="72"/>
      <c r="AO53" s="159"/>
      <c r="AP53" s="63"/>
      <c r="AQ53" s="64"/>
      <c r="AR53" s="203">
        <f>MEDIAN(AR50:AW50)</f>
        <v>0.69724893364889662</v>
      </c>
      <c r="AS53" s="210"/>
      <c r="AT53" s="63"/>
      <c r="AU53" s="64"/>
      <c r="AV53" s="203"/>
      <c r="AW53" s="210"/>
      <c r="AX53" s="223">
        <f>MEDIAN(AX50:BC50)</f>
        <v>0.28844972212146297</v>
      </c>
      <c r="AY53" s="228"/>
      <c r="AZ53" s="63"/>
      <c r="BA53" s="63"/>
      <c r="BB53" s="224"/>
      <c r="BC53" s="244"/>
      <c r="BD53" s="223">
        <f>MEDIAN(BD50:BI50)</f>
        <v>0.39438288459770354</v>
      </c>
      <c r="BE53" s="228"/>
      <c r="BF53" s="63"/>
      <c r="BG53" s="63"/>
      <c r="BH53" s="224"/>
      <c r="BI53" s="228"/>
      <c r="BJ53" s="71">
        <f>MEDIAN(BK50,BQ50)</f>
        <v>0.14879909988044626</v>
      </c>
      <c r="BK53" s="144"/>
      <c r="BL53" s="72">
        <f>MEDIAN(BM50,BS50)</f>
        <v>0.1582773767548869</v>
      </c>
      <c r="BM53" s="228"/>
      <c r="BN53" s="63"/>
      <c r="BO53" s="64"/>
      <c r="BP53" s="224"/>
      <c r="BQ53" s="228"/>
      <c r="BR53" s="224"/>
      <c r="BS53" s="228"/>
      <c r="BT53" s="63"/>
      <c r="BU53" s="64"/>
      <c r="BV53" s="223">
        <f>MEDIAN(BV50:CA50)</f>
        <v>0.10646300838762782</v>
      </c>
      <c r="BW53" s="228"/>
      <c r="BX53" s="63"/>
      <c r="BY53" s="63"/>
      <c r="BZ53" s="223">
        <f>MEDIAN(BZ50:CE50)</f>
        <v>8.7476393018439708E-2</v>
      </c>
      <c r="CA53" s="228"/>
      <c r="CB53" s="63"/>
      <c r="CC53" s="64"/>
    </row>
    <row r="54" spans="1:81" s="10" customFormat="1" x14ac:dyDescent="0.3">
      <c r="A54" t="s">
        <v>81</v>
      </c>
      <c r="B54" s="71">
        <f>AVERAGE(B50:G50)</f>
        <v>0.11992190015199064</v>
      </c>
      <c r="C54" s="144"/>
      <c r="D54" s="63"/>
      <c r="E54" s="63"/>
      <c r="F54" s="72"/>
      <c r="G54" s="144"/>
      <c r="H54" s="63"/>
      <c r="I54" s="63"/>
      <c r="J54" s="71">
        <f>AVERAGE(J50:M50)</f>
        <v>0.13224130742807053</v>
      </c>
      <c r="K54" s="144"/>
      <c r="L54" s="72"/>
      <c r="M54" s="144"/>
      <c r="N54" s="72"/>
      <c r="O54" s="159"/>
      <c r="P54" s="71"/>
      <c r="Q54" s="144"/>
      <c r="R54" s="71">
        <f>AVERAGE(S50,U50)</f>
        <v>0.36154082439796759</v>
      </c>
      <c r="S54" s="144"/>
      <c r="T54" s="184"/>
      <c r="U54" s="135"/>
      <c r="V54" s="63"/>
      <c r="W54" s="64"/>
      <c r="X54" s="184"/>
      <c r="Y54" s="135"/>
      <c r="Z54" s="63"/>
      <c r="AA54" s="64"/>
      <c r="AB54" s="184"/>
      <c r="AC54" s="135"/>
      <c r="AD54" s="63"/>
      <c r="AE54" s="63"/>
      <c r="AF54" s="71">
        <f>AVERAGE(AG50,AM50)</f>
        <v>0.76001544616654126</v>
      </c>
      <c r="AG54" s="144"/>
      <c r="AH54" s="72">
        <f>AVERAGE(AI50,AO50)</f>
        <v>0.13082721931215069</v>
      </c>
      <c r="AI54" s="144"/>
      <c r="AJ54" s="63"/>
      <c r="AK54" s="63"/>
      <c r="AL54" s="71"/>
      <c r="AM54" s="144"/>
      <c r="AN54" s="72"/>
      <c r="AO54" s="159"/>
      <c r="AP54" s="63"/>
      <c r="AQ54" s="64"/>
      <c r="AR54" s="203">
        <f>AVERAGE(AR50:AW50)</f>
        <v>0.69724893364889662</v>
      </c>
      <c r="AS54" s="210"/>
      <c r="AT54" s="63"/>
      <c r="AU54" s="64"/>
      <c r="AV54" s="203"/>
      <c r="AW54" s="210"/>
      <c r="AX54" s="223">
        <f>AVERAGE(AX50:BC50)</f>
        <v>0.28844972212146297</v>
      </c>
      <c r="AY54" s="228"/>
      <c r="AZ54" s="63"/>
      <c r="BA54" s="63"/>
      <c r="BB54" s="224"/>
      <c r="BC54" s="244"/>
      <c r="BD54" s="223">
        <f>AVERAGE(BD50:BI50)</f>
        <v>0.39438288459770354</v>
      </c>
      <c r="BE54" s="228"/>
      <c r="BF54" s="63"/>
      <c r="BG54" s="63"/>
      <c r="BH54" s="224"/>
      <c r="BI54" s="228"/>
      <c r="BJ54" s="71">
        <f>AVERAGE(BK50,BQ50)</f>
        <v>0.14879909988044626</v>
      </c>
      <c r="BK54" s="144"/>
      <c r="BL54" s="72">
        <f>AVERAGE(BM50,BS50)</f>
        <v>0.15827737675488687</v>
      </c>
      <c r="BM54" s="228"/>
      <c r="BN54" s="63"/>
      <c r="BO54" s="64"/>
      <c r="BP54" s="224"/>
      <c r="BQ54" s="228"/>
      <c r="BR54" s="224"/>
      <c r="BS54" s="228"/>
      <c r="BT54" s="63"/>
      <c r="BU54" s="64"/>
      <c r="BV54" s="223">
        <f>AVERAGE(BV50:CA50)</f>
        <v>0.10646300838762782</v>
      </c>
      <c r="BW54" s="228"/>
      <c r="BX54" s="63"/>
      <c r="BY54" s="63"/>
      <c r="BZ54" s="223">
        <f>AVERAGE(BZ50:CE50)</f>
        <v>8.7476393018439708E-2</v>
      </c>
      <c r="CA54" s="228"/>
      <c r="CB54" s="63"/>
      <c r="CC54" s="64"/>
    </row>
    <row r="55" spans="1:81" s="10" customFormat="1" x14ac:dyDescent="0.3">
      <c r="A55" t="s">
        <v>82</v>
      </c>
      <c r="B55" s="71">
        <f>STDEV(B50:G50)</f>
        <v>3.027023989824193E-2</v>
      </c>
      <c r="C55" s="144"/>
      <c r="D55" s="63"/>
      <c r="E55" s="63"/>
      <c r="F55" s="72"/>
      <c r="G55" s="144"/>
      <c r="H55" s="63"/>
      <c r="I55" s="63"/>
      <c r="J55" s="71">
        <f>STDEV(J50:M50)</f>
        <v>4.5421161006165403E-2</v>
      </c>
      <c r="K55" s="144"/>
      <c r="L55" s="72"/>
      <c r="M55" s="144"/>
      <c r="N55" s="72"/>
      <c r="O55" s="159"/>
      <c r="P55" s="71"/>
      <c r="Q55" s="144"/>
      <c r="R55" s="71">
        <f>STDEV(S50,U50)</f>
        <v>0.16593265861266879</v>
      </c>
      <c r="S55" s="144"/>
      <c r="T55" s="184"/>
      <c r="U55" s="135"/>
      <c r="V55" s="63"/>
      <c r="W55" s="64"/>
      <c r="X55" s="184"/>
      <c r="Y55" s="135"/>
      <c r="Z55" s="63"/>
      <c r="AA55" s="64"/>
      <c r="AB55" s="184"/>
      <c r="AC55" s="135"/>
      <c r="AD55" s="63"/>
      <c r="AE55" s="63"/>
      <c r="AF55" s="71">
        <f>STDEV(AG50,AM50)</f>
        <v>2.7774266964388675E-2</v>
      </c>
      <c r="AG55" s="144"/>
      <c r="AH55" s="72">
        <f>STDEV(AI50,AO50)</f>
        <v>8.8872573146742087E-2</v>
      </c>
      <c r="AI55" s="144"/>
      <c r="AJ55" s="63"/>
      <c r="AK55" s="63"/>
      <c r="AL55" s="71"/>
      <c r="AM55" s="144"/>
      <c r="AN55" s="72"/>
      <c r="AO55" s="159"/>
      <c r="AP55" s="63"/>
      <c r="AQ55" s="64"/>
      <c r="AR55" s="203">
        <f>STDEV(AR50:AW50)</f>
        <v>1.9134587349892762E-2</v>
      </c>
      <c r="AS55" s="210"/>
      <c r="AT55" s="63"/>
      <c r="AU55" s="64"/>
      <c r="AV55" s="203"/>
      <c r="AW55" s="210"/>
      <c r="AX55" s="223">
        <f>STDEV(AX50:BC50)</f>
        <v>0.1848455244053806</v>
      </c>
      <c r="AY55" s="228"/>
      <c r="AZ55" s="63"/>
      <c r="BA55" s="63"/>
      <c r="BB55" s="224"/>
      <c r="BC55" s="244"/>
      <c r="BD55" s="223">
        <f>STDEV(BD50:BI50)</f>
        <v>4.134198845771804E-2</v>
      </c>
      <c r="BE55" s="228"/>
      <c r="BF55" s="63"/>
      <c r="BG55" s="63"/>
      <c r="BH55" s="224"/>
      <c r="BI55" s="228"/>
      <c r="BJ55" s="71">
        <f>STDEV(BK50,BQ50)</f>
        <v>0.10669884989929695</v>
      </c>
      <c r="BK55" s="144"/>
      <c r="BL55" s="72">
        <f>STDEV(BM50,BS50)</f>
        <v>0.1191219206905081</v>
      </c>
      <c r="BM55" s="228"/>
      <c r="BN55" s="63"/>
      <c r="BO55" s="64"/>
      <c r="BP55" s="224"/>
      <c r="BQ55" s="228"/>
      <c r="BR55" s="224"/>
      <c r="BS55" s="228"/>
      <c r="BT55" s="63"/>
      <c r="BU55" s="64"/>
      <c r="BV55" s="223">
        <f>STDEV(BV50:CA50)</f>
        <v>2.6851128958667269E-2</v>
      </c>
      <c r="BW55" s="228"/>
      <c r="BX55" s="63"/>
      <c r="BY55" s="63"/>
      <c r="BZ55" s="223" t="e">
        <f>STDEV(BZ50:CE50)</f>
        <v>#DIV/0!</v>
      </c>
      <c r="CA55" s="228"/>
      <c r="CB55" s="63"/>
      <c r="CC55" s="64"/>
    </row>
    <row r="56" spans="1:81" s="10" customFormat="1" x14ac:dyDescent="0.3">
      <c r="A56" t="s">
        <v>83</v>
      </c>
      <c r="B56" s="71"/>
      <c r="C56" s="144"/>
      <c r="D56" s="63"/>
      <c r="E56" s="63"/>
      <c r="F56" s="72"/>
      <c r="G56" s="144"/>
      <c r="H56" s="63"/>
      <c r="I56" s="63"/>
      <c r="J56" s="71"/>
      <c r="K56" s="144"/>
      <c r="L56" s="72"/>
      <c r="M56" s="144"/>
      <c r="N56" s="72"/>
      <c r="O56" s="159"/>
      <c r="P56" s="71"/>
      <c r="Q56" s="144"/>
      <c r="R56" s="71"/>
      <c r="S56" s="74"/>
      <c r="T56" s="179"/>
      <c r="U56" s="179"/>
      <c r="V56" s="63"/>
      <c r="W56" s="64"/>
      <c r="X56" s="179"/>
      <c r="Y56" s="179"/>
      <c r="Z56" s="63"/>
      <c r="AA56" s="64"/>
      <c r="AB56" s="179"/>
      <c r="AC56" s="179"/>
      <c r="AD56" s="63"/>
      <c r="AE56" s="63"/>
      <c r="AF56" s="71"/>
      <c r="AG56" s="144"/>
      <c r="AH56" s="72"/>
      <c r="AI56" s="144"/>
      <c r="AJ56" s="63"/>
      <c r="AK56" s="63"/>
      <c r="AL56" s="71"/>
      <c r="AM56" s="144"/>
      <c r="AN56" s="72"/>
      <c r="AO56" s="159"/>
      <c r="AP56" s="63"/>
      <c r="AQ56" s="64"/>
      <c r="AR56" s="203"/>
      <c r="AS56" s="210"/>
      <c r="AT56" s="63"/>
      <c r="AU56" s="64"/>
      <c r="AV56" s="203"/>
      <c r="AW56" s="210"/>
      <c r="AX56" s="223"/>
      <c r="AY56" s="228"/>
      <c r="AZ56" s="63"/>
      <c r="BA56" s="63"/>
      <c r="BB56" s="224"/>
      <c r="BC56" s="244"/>
      <c r="BD56" s="223"/>
      <c r="BE56" s="228"/>
      <c r="BF56" s="63"/>
      <c r="BG56" s="63"/>
      <c r="BH56" s="224"/>
      <c r="BI56" s="228"/>
      <c r="BJ56" s="71"/>
      <c r="BK56" s="144"/>
      <c r="BL56" s="72"/>
      <c r="BM56" s="228"/>
      <c r="BN56" s="63"/>
      <c r="BO56" s="64"/>
      <c r="BP56" s="224"/>
      <c r="BQ56" s="228"/>
      <c r="BR56" s="224"/>
      <c r="BS56" s="228"/>
      <c r="BT56" s="63"/>
      <c r="BU56" s="64"/>
      <c r="BV56" s="223"/>
      <c r="BW56" s="228"/>
      <c r="BX56" s="63"/>
      <c r="BY56" s="63"/>
      <c r="BZ56" s="223"/>
      <c r="CA56" s="228"/>
      <c r="CB56" s="63"/>
      <c r="CC56" s="64"/>
    </row>
    <row r="57" spans="1:81" s="10" customFormat="1" x14ac:dyDescent="0.3">
      <c r="A57"/>
      <c r="B57" s="71"/>
      <c r="C57" s="72"/>
      <c r="D57" s="63"/>
      <c r="E57" s="63"/>
      <c r="F57" s="72"/>
      <c r="G57" s="72"/>
      <c r="H57" s="63"/>
      <c r="I57" s="63"/>
      <c r="J57" s="71"/>
      <c r="K57" s="72"/>
      <c r="L57" s="72"/>
      <c r="M57" s="72"/>
      <c r="N57" s="72"/>
      <c r="O57" s="125"/>
      <c r="P57" s="71"/>
      <c r="Q57" s="72"/>
      <c r="R57" s="71"/>
      <c r="S57" s="74"/>
      <c r="T57" s="179"/>
      <c r="U57" s="179"/>
      <c r="V57" s="63"/>
      <c r="W57" s="64"/>
      <c r="X57" s="179"/>
      <c r="Y57" s="179"/>
      <c r="Z57" s="63"/>
      <c r="AA57" s="64"/>
      <c r="AB57" s="179"/>
      <c r="AC57" s="179"/>
      <c r="AD57" s="63"/>
      <c r="AE57" s="63"/>
      <c r="AF57" s="71"/>
      <c r="AG57" s="72"/>
      <c r="AH57" s="72"/>
      <c r="AI57" s="72"/>
      <c r="AJ57" s="63"/>
      <c r="AK57" s="63"/>
      <c r="AL57" s="71"/>
      <c r="AM57" s="72"/>
      <c r="AN57" s="72"/>
      <c r="AO57" s="125"/>
      <c r="AP57" s="63"/>
      <c r="AQ57" s="64"/>
      <c r="AR57" s="203"/>
      <c r="AS57" s="204"/>
      <c r="AT57" s="63"/>
      <c r="AU57" s="64"/>
      <c r="AV57" s="203"/>
      <c r="AW57" s="204"/>
      <c r="AX57" s="223"/>
      <c r="AY57" s="224"/>
      <c r="AZ57" s="63"/>
      <c r="BA57" s="63"/>
      <c r="BB57" s="224"/>
      <c r="BC57" s="238"/>
      <c r="BD57" s="223"/>
      <c r="BE57" s="224"/>
      <c r="BF57" s="63"/>
      <c r="BG57" s="63"/>
      <c r="BH57" s="224"/>
      <c r="BI57" s="224"/>
      <c r="BJ57" s="71"/>
      <c r="BK57" s="72"/>
      <c r="BL57" s="72"/>
      <c r="BM57" s="224"/>
      <c r="BN57" s="63"/>
      <c r="BO57" s="64"/>
      <c r="BP57" s="224"/>
      <c r="BQ57" s="224"/>
      <c r="BR57" s="224"/>
      <c r="BS57" s="224"/>
      <c r="BT57" s="63"/>
      <c r="BU57" s="64"/>
      <c r="BV57" s="223"/>
      <c r="BW57" s="224"/>
      <c r="BX57" s="63"/>
      <c r="BY57" s="63"/>
      <c r="BZ57" s="223"/>
      <c r="CA57" s="224"/>
      <c r="CB57" s="63"/>
      <c r="CC57" s="64"/>
    </row>
    <row r="58" spans="1:81" s="10" customFormat="1" x14ac:dyDescent="0.3">
      <c r="B58" s="145"/>
      <c r="C58" s="139"/>
      <c r="D58" s="63"/>
      <c r="E58" s="63"/>
      <c r="F58" s="139"/>
      <c r="G58" s="139"/>
      <c r="H58" s="63"/>
      <c r="I58" s="63"/>
      <c r="J58" s="145"/>
      <c r="K58" s="139"/>
      <c r="L58" s="139"/>
      <c r="M58" s="139"/>
      <c r="N58" s="139"/>
      <c r="O58" s="140"/>
      <c r="P58" s="145"/>
      <c r="Q58" s="139"/>
      <c r="R58" s="145"/>
      <c r="S58" s="74"/>
      <c r="T58" s="179"/>
      <c r="U58" s="179"/>
      <c r="V58" s="63"/>
      <c r="W58" s="64"/>
      <c r="X58" s="179"/>
      <c r="Y58" s="179"/>
      <c r="Z58" s="63"/>
      <c r="AA58" s="64"/>
      <c r="AB58" s="179"/>
      <c r="AC58" s="179"/>
      <c r="AD58" s="63"/>
      <c r="AE58" s="63"/>
      <c r="AF58" s="145"/>
      <c r="AG58" s="139"/>
      <c r="AH58" s="139"/>
      <c r="AI58" s="139"/>
      <c r="AJ58" s="63"/>
      <c r="AK58" s="63"/>
      <c r="AL58" s="145"/>
      <c r="AM58" s="139"/>
      <c r="AN58" s="139"/>
      <c r="AO58" s="140"/>
      <c r="AP58" s="63"/>
      <c r="AQ58" s="64"/>
      <c r="AR58" s="211"/>
      <c r="AS58" s="205"/>
      <c r="AT58" s="63"/>
      <c r="AU58" s="64"/>
      <c r="AV58" s="211"/>
      <c r="AW58" s="205"/>
      <c r="AX58" s="229"/>
      <c r="AY58" s="188"/>
      <c r="AZ58" s="63"/>
      <c r="BA58" s="63"/>
      <c r="BB58" s="188"/>
      <c r="BC58" s="239"/>
      <c r="BD58" s="229"/>
      <c r="BE58" s="188"/>
      <c r="BF58" s="63"/>
      <c r="BG58" s="63"/>
      <c r="BH58" s="188"/>
      <c r="BI58" s="188"/>
      <c r="BJ58" s="145"/>
      <c r="BK58" s="139"/>
      <c r="BL58" s="139"/>
      <c r="BM58" s="188"/>
      <c r="BN58" s="63"/>
      <c r="BO58" s="64"/>
      <c r="BP58" s="188"/>
      <c r="BQ58" s="188"/>
      <c r="BR58" s="188"/>
      <c r="BS58" s="188"/>
      <c r="BT58" s="63"/>
      <c r="BU58" s="64"/>
      <c r="BV58" s="229"/>
      <c r="BW58" s="188"/>
      <c r="BX58" s="63"/>
      <c r="BY58" s="63"/>
      <c r="BZ58" s="229"/>
      <c r="CA58" s="188"/>
      <c r="CB58" s="63"/>
      <c r="CC58" s="64"/>
    </row>
    <row r="59" spans="1:81" x14ac:dyDescent="0.3">
      <c r="A59" s="7" t="s">
        <v>115</v>
      </c>
      <c r="B59" s="146">
        <f>AVERAGE(B36:G36)</f>
        <v>1.6844288979552919</v>
      </c>
      <c r="C59" s="118"/>
      <c r="D59" s="63"/>
      <c r="E59" s="63"/>
      <c r="F59" s="147"/>
      <c r="G59" s="118"/>
      <c r="H59" s="63"/>
      <c r="I59" s="63"/>
      <c r="J59" s="146">
        <f>AVERAGE(J36:M36)</f>
        <v>1.1961387320986088</v>
      </c>
      <c r="K59" s="118"/>
      <c r="L59" s="147"/>
      <c r="M59" s="118"/>
      <c r="N59" s="147"/>
      <c r="O59" s="128"/>
      <c r="P59" s="146"/>
      <c r="Q59" s="118"/>
      <c r="R59" s="146">
        <f>AVERAGE(S36,U36)</f>
        <v>2.0377971663353769</v>
      </c>
      <c r="S59" s="74"/>
      <c r="T59" s="179"/>
      <c r="U59" s="179"/>
      <c r="V59" s="63"/>
      <c r="W59" s="64"/>
      <c r="X59" s="179"/>
      <c r="Y59" s="179"/>
      <c r="Z59" s="63"/>
      <c r="AA59" s="64"/>
      <c r="AB59" s="179"/>
      <c r="AC59" s="179"/>
      <c r="AD59" s="63"/>
      <c r="AE59" s="63"/>
      <c r="AF59" s="146">
        <f>AVERAGE(AG36,AM36)</f>
        <v>6.6743727510553033</v>
      </c>
      <c r="AH59" s="166">
        <f>AVERAGE(AI36,AO36)</f>
        <v>1.120598581353959</v>
      </c>
      <c r="AL59" s="168"/>
      <c r="AM59" s="118"/>
      <c r="AN59" s="147"/>
      <c r="AO59" s="128"/>
      <c r="AP59" s="63"/>
      <c r="AQ59" s="64"/>
      <c r="AR59" s="212">
        <f>AVERAGE(AR36:AW36)</f>
        <v>1.1962308612842834</v>
      </c>
      <c r="AS59" s="195"/>
      <c r="AT59" s="63"/>
      <c r="AU59" s="64"/>
      <c r="AV59" s="212"/>
      <c r="AW59" s="195"/>
      <c r="AX59" s="230">
        <f>AVERAGE(AX36:BC36)</f>
        <v>5.6870943362237654</v>
      </c>
      <c r="AY59" s="217"/>
      <c r="AZ59" s="63"/>
      <c r="BA59" s="63"/>
      <c r="BB59" s="234"/>
      <c r="BC59" s="235"/>
      <c r="BD59" s="230">
        <f>AVERAGE(BD36:BI36)</f>
        <v>2.5303715425951836</v>
      </c>
      <c r="BE59" s="217"/>
      <c r="BF59" s="63"/>
      <c r="BG59" s="63"/>
      <c r="BH59" s="234"/>
      <c r="BI59" s="217"/>
      <c r="BJ59" s="146">
        <f>AVERAGE(BK36,BQ36)</f>
        <v>1.97411163734172</v>
      </c>
      <c r="BK59" s="118"/>
      <c r="BL59" s="166">
        <f>AVERAGE(BM36,BS36)</f>
        <v>8.669357050452426</v>
      </c>
      <c r="BM59" s="217"/>
      <c r="BN59" s="63"/>
      <c r="BO59" s="64"/>
      <c r="BP59" s="234"/>
      <c r="BQ59" s="217"/>
      <c r="BR59" s="234"/>
      <c r="BS59" s="217"/>
      <c r="BT59" s="63"/>
      <c r="BU59" s="64"/>
      <c r="BV59" s="230">
        <f>AVERAGE(BV36:CA36)</f>
        <v>4.4926400047046027</v>
      </c>
      <c r="BW59" s="217"/>
      <c r="BX59" s="63"/>
      <c r="BY59" s="63"/>
      <c r="BZ59" s="230"/>
      <c r="CA59" s="217"/>
      <c r="CB59" s="63"/>
      <c r="CC59" s="64"/>
    </row>
    <row r="60" spans="1:81" x14ac:dyDescent="0.3">
      <c r="A60" s="10" t="s">
        <v>116</v>
      </c>
      <c r="B60" s="146">
        <f>STDEV(B36:G36)</f>
        <v>9.8721240734090734E-2</v>
      </c>
      <c r="C60" s="118"/>
      <c r="D60" s="63"/>
      <c r="E60" s="63"/>
      <c r="F60" s="118"/>
      <c r="G60" s="118"/>
      <c r="H60" s="63"/>
      <c r="I60" s="63"/>
      <c r="J60" s="146">
        <f>STDEV(J36:M36)</f>
        <v>2.4640114517018776E-2</v>
      </c>
      <c r="K60" s="118"/>
      <c r="L60" s="118"/>
      <c r="M60" s="118"/>
      <c r="N60" s="118"/>
      <c r="O60" s="128"/>
      <c r="P60" s="146"/>
      <c r="Q60" s="118"/>
      <c r="R60" s="146">
        <f>STDEV(S36,U36)</f>
        <v>0.40101695692131917</v>
      </c>
      <c r="S60" s="74"/>
      <c r="T60" s="179"/>
      <c r="U60" s="179"/>
      <c r="V60" s="63"/>
      <c r="W60" s="64"/>
      <c r="X60" s="179"/>
      <c r="Y60" s="179"/>
      <c r="Z60" s="63"/>
      <c r="AA60" s="64"/>
      <c r="AB60" s="179"/>
      <c r="AC60" s="179"/>
      <c r="AD60" s="63"/>
      <c r="AE60" s="63"/>
      <c r="AF60" s="146">
        <f>STDEV(AG36,AM36)</f>
        <v>2.4202693649930069E-2</v>
      </c>
      <c r="AH60" s="166">
        <f>STDEV(AI36,AO36)</f>
        <v>3.815818289344905E-2</v>
      </c>
      <c r="AL60" s="117"/>
      <c r="AM60" s="118"/>
      <c r="AN60" s="118"/>
      <c r="AO60" s="128"/>
      <c r="AP60" s="63"/>
      <c r="AQ60" s="64"/>
      <c r="AR60" s="212">
        <f>STDEV(AR36:AW36)</f>
        <v>1.9858673977741732E-2</v>
      </c>
      <c r="AS60" s="195"/>
      <c r="AT60" s="63"/>
      <c r="AU60" s="64"/>
      <c r="AV60" s="212"/>
      <c r="AW60" s="195"/>
      <c r="AX60" s="230">
        <f>STDEV(AX36:BC36)</f>
        <v>0.33583879652106507</v>
      </c>
      <c r="AY60" s="217"/>
      <c r="AZ60" s="63"/>
      <c r="BA60" s="63"/>
      <c r="BB60" s="234"/>
      <c r="BC60" s="235"/>
      <c r="BD60" s="230">
        <f>STDEV(BD36:BI36)</f>
        <v>3.1919778633290298E-2</v>
      </c>
      <c r="BE60" s="217"/>
      <c r="BF60" s="63"/>
      <c r="BG60" s="63"/>
      <c r="BH60" s="234"/>
      <c r="BI60" s="217"/>
      <c r="BJ60" s="146">
        <f>STDEV(BK36,BQ36)</f>
        <v>0.16365619445590598</v>
      </c>
      <c r="BK60" s="118"/>
      <c r="BL60" s="166">
        <f>STDEV(BM36,BS36)</f>
        <v>6.2475998470114438E-2</v>
      </c>
      <c r="BM60" s="217"/>
      <c r="BN60" s="63"/>
      <c r="BO60" s="64"/>
      <c r="BP60" s="234"/>
      <c r="BQ60" s="217"/>
      <c r="BR60" s="234"/>
      <c r="BS60" s="217"/>
      <c r="BT60" s="63"/>
      <c r="BU60" s="64"/>
      <c r="BV60" s="230">
        <f>STDEV(BV36:CA36)</f>
        <v>2.5380774227872757E-2</v>
      </c>
      <c r="BW60" s="217"/>
      <c r="BX60" s="63"/>
      <c r="BY60" s="63"/>
      <c r="BZ60" s="230"/>
      <c r="CA60" s="217"/>
      <c r="CB60" s="63"/>
      <c r="CC60" s="64"/>
    </row>
    <row r="61" spans="1:81" x14ac:dyDescent="0.3">
      <c r="A61" s="10" t="s">
        <v>117</v>
      </c>
      <c r="B61" s="146">
        <f>AVERAGE(B42:G42)</f>
        <v>74.984486801414988</v>
      </c>
      <c r="C61" s="118"/>
      <c r="D61" s="63"/>
      <c r="E61" s="63"/>
      <c r="F61" s="141"/>
      <c r="G61" s="118"/>
      <c r="H61" s="63"/>
      <c r="I61" s="63"/>
      <c r="J61" s="146">
        <f>AVERAGE(J42:M42)</f>
        <v>49.848583722723163</v>
      </c>
      <c r="K61" s="118"/>
      <c r="L61" s="141"/>
      <c r="M61" s="118"/>
      <c r="N61" s="141"/>
      <c r="O61" s="128"/>
      <c r="P61" s="146"/>
      <c r="Q61" s="118"/>
      <c r="R61" s="146">
        <f>AVERAGE(S42,U42)</f>
        <v>167.8537738612755</v>
      </c>
      <c r="S61" s="74"/>
      <c r="T61" s="179"/>
      <c r="U61" s="179"/>
      <c r="V61" s="63"/>
      <c r="W61" s="64"/>
      <c r="X61" s="179"/>
      <c r="Y61" s="179"/>
      <c r="Z61" s="63"/>
      <c r="AA61" s="64"/>
      <c r="AB61" s="179"/>
      <c r="AC61" s="179"/>
      <c r="AD61" s="63"/>
      <c r="AE61" s="63"/>
      <c r="AF61" s="146">
        <f>AVERAGE(AG42,AM42)</f>
        <v>68.261832561415403</v>
      </c>
      <c r="AH61" s="166">
        <f>AVERAGE(AI42,AO42)</f>
        <v>41.319523146094539</v>
      </c>
      <c r="AL61" s="169"/>
      <c r="AM61" s="118"/>
      <c r="AN61" s="141"/>
      <c r="AO61" s="128"/>
      <c r="AP61" s="63"/>
      <c r="AQ61" s="64"/>
      <c r="AR61" s="212">
        <f>AVERAGE(AR42:AW42)</f>
        <v>277.66705484892634</v>
      </c>
      <c r="AS61" s="195"/>
      <c r="AT61" s="63"/>
      <c r="AU61" s="64"/>
      <c r="AV61" s="212"/>
      <c r="AW61" s="195"/>
      <c r="AX61" s="230">
        <f>AVERAGE(AX42:BC42)</f>
        <v>228.46075765873479</v>
      </c>
      <c r="AY61" s="217"/>
      <c r="AZ61" s="63"/>
      <c r="BA61" s="63"/>
      <c r="BB61" s="234"/>
      <c r="BC61" s="235"/>
      <c r="BD61" s="230">
        <f>AVERAGE(BD42:BI42)</f>
        <v>300.13746586402738</v>
      </c>
      <c r="BE61" s="217"/>
      <c r="BF61" s="63"/>
      <c r="BG61" s="63"/>
      <c r="BH61" s="234"/>
      <c r="BI61" s="217"/>
      <c r="BJ61" s="146">
        <f>AVERAGE(BK42,BQ42)</f>
        <v>69.335940870765384</v>
      </c>
      <c r="BK61" s="118"/>
      <c r="BL61" s="166">
        <f>AVERAGE(BM42,BS42)</f>
        <v>308.05919284369696</v>
      </c>
      <c r="BM61" s="217"/>
      <c r="BN61" s="63"/>
      <c r="BO61" s="64"/>
      <c r="BP61" s="234"/>
      <c r="BQ61" s="217"/>
      <c r="BR61" s="234"/>
      <c r="BS61" s="217"/>
      <c r="BT61" s="63"/>
      <c r="BU61" s="64"/>
      <c r="BV61" s="230">
        <f>AVERAGE(BV42:CA42)</f>
        <v>58.150922814863762</v>
      </c>
      <c r="BW61" s="217"/>
      <c r="BX61" s="63"/>
      <c r="BY61" s="63"/>
      <c r="BZ61" s="230"/>
      <c r="CA61" s="217"/>
      <c r="CB61" s="63"/>
      <c r="CC61" s="64"/>
    </row>
    <row r="62" spans="1:81" ht="15" thickBot="1" x14ac:dyDescent="0.35">
      <c r="A62" s="10" t="s">
        <v>118</v>
      </c>
      <c r="B62" s="148">
        <f>STDEV(B42:G42)</f>
        <v>1.8603428875169916</v>
      </c>
      <c r="C62" s="149"/>
      <c r="D62" s="78"/>
      <c r="E62" s="78"/>
      <c r="F62" s="149"/>
      <c r="G62" s="149"/>
      <c r="H62" s="78"/>
      <c r="I62" s="78"/>
      <c r="J62" s="172">
        <f>STDEV(J42:M42)</f>
        <v>3.3382246358177068</v>
      </c>
      <c r="K62" s="149"/>
      <c r="L62" s="149"/>
      <c r="M62" s="149"/>
      <c r="N62" s="149"/>
      <c r="O62" s="160"/>
      <c r="P62" s="161"/>
      <c r="Q62" s="149"/>
      <c r="R62" s="172">
        <f>STDEV(S42,U42)</f>
        <v>5.1503126556899455</v>
      </c>
      <c r="S62" s="96"/>
      <c r="T62" s="136"/>
      <c r="U62" s="136"/>
      <c r="V62" s="78"/>
      <c r="W62" s="79"/>
      <c r="X62" s="136"/>
      <c r="Y62" s="136"/>
      <c r="Z62" s="78"/>
      <c r="AA62" s="79"/>
      <c r="AB62" s="136"/>
      <c r="AC62" s="136"/>
      <c r="AD62" s="78"/>
      <c r="AE62" s="78"/>
      <c r="AF62" s="172">
        <f>STDEV(AG42,AM42)</f>
        <v>0.49201074590692723</v>
      </c>
      <c r="AG62" s="149"/>
      <c r="AH62" s="189">
        <f>STDEV(AI42,AO42)</f>
        <v>6.1791957987847477</v>
      </c>
      <c r="AI62" s="149"/>
      <c r="AJ62" s="78"/>
      <c r="AK62" s="79"/>
      <c r="AL62" s="170"/>
      <c r="AM62" s="149"/>
      <c r="AN62" s="149"/>
      <c r="AO62" s="160"/>
      <c r="AP62" s="78"/>
      <c r="AQ62" s="79"/>
      <c r="AR62" s="213">
        <f>STDEV(AR42:AW42)</f>
        <v>1.3892686447063451</v>
      </c>
      <c r="AS62" s="214"/>
      <c r="AT62" s="78"/>
      <c r="AU62" s="79"/>
      <c r="AV62" s="213"/>
      <c r="AW62" s="214"/>
      <c r="AX62" s="231">
        <f>STDEV(AX42:BC42)</f>
        <v>1.6613748808834092</v>
      </c>
      <c r="AY62" s="232"/>
      <c r="AZ62" s="78"/>
      <c r="BA62" s="78"/>
      <c r="BB62" s="245"/>
      <c r="BC62" s="246"/>
      <c r="BD62" s="231">
        <f>STDEV(BD42:BI42)</f>
        <v>0.63675254158716976</v>
      </c>
      <c r="BE62" s="232"/>
      <c r="BF62" s="78"/>
      <c r="BG62" s="78"/>
      <c r="BH62" s="245"/>
      <c r="BI62" s="232"/>
      <c r="BJ62" s="172">
        <f>STDEV(BK42,BQ42)</f>
        <v>2.6563531432240972</v>
      </c>
      <c r="BK62" s="149"/>
      <c r="BL62" s="189">
        <f>STDEV(BM42,BS42)</f>
        <v>0.67538595036467786</v>
      </c>
      <c r="BM62" s="232"/>
      <c r="BN62" s="78"/>
      <c r="BO62" s="79"/>
      <c r="BP62" s="245"/>
      <c r="BQ62" s="232"/>
      <c r="BR62" s="245"/>
      <c r="BS62" s="232"/>
      <c r="BT62" s="78"/>
      <c r="BU62" s="79"/>
      <c r="BV62" s="231">
        <f>STDEV(BV42:CA42)</f>
        <v>0.11682305736585923</v>
      </c>
      <c r="BW62" s="232"/>
      <c r="BX62" s="78"/>
      <c r="BY62" s="78"/>
      <c r="BZ62" s="231"/>
      <c r="CA62" s="232"/>
      <c r="CB62" s="78"/>
      <c r="CC62" s="79"/>
    </row>
  </sheetData>
  <mergeCells count="83">
    <mergeCell ref="CB10:CC10"/>
    <mergeCell ref="BZ19:CA19"/>
    <mergeCell ref="BZ34:CA34"/>
    <mergeCell ref="BX10:BY10"/>
    <mergeCell ref="BV19:BW19"/>
    <mergeCell ref="BV34:BW34"/>
    <mergeCell ref="BZ10:CA10"/>
    <mergeCell ref="BP34:BQ34"/>
    <mergeCell ref="BR34:BS34"/>
    <mergeCell ref="BV10:BW10"/>
    <mergeCell ref="BL10:BM10"/>
    <mergeCell ref="BL19:BM19"/>
    <mergeCell ref="BL34:BM34"/>
    <mergeCell ref="BP19:BQ19"/>
    <mergeCell ref="BR19:BS19"/>
    <mergeCell ref="BP10:BQ10"/>
    <mergeCell ref="BR10:BS10"/>
    <mergeCell ref="BT10:BU10"/>
    <mergeCell ref="BJ19:BK19"/>
    <mergeCell ref="BJ34:BK34"/>
    <mergeCell ref="BN10:BO10"/>
    <mergeCell ref="AZ10:BA10"/>
    <mergeCell ref="BF10:BG10"/>
    <mergeCell ref="BH10:BI10"/>
    <mergeCell ref="BD19:BE19"/>
    <mergeCell ref="BH19:BI19"/>
    <mergeCell ref="BJ10:BK10"/>
    <mergeCell ref="BH34:BI34"/>
    <mergeCell ref="BB10:BC10"/>
    <mergeCell ref="AT10:AU10"/>
    <mergeCell ref="AV10:AW10"/>
    <mergeCell ref="AV19:AW19"/>
    <mergeCell ref="AV34:AW34"/>
    <mergeCell ref="BD34:BE34"/>
    <mergeCell ref="AX19:AY19"/>
    <mergeCell ref="BB19:BC19"/>
    <mergeCell ref="AX34:AY34"/>
    <mergeCell ref="BB34:BC34"/>
    <mergeCell ref="BD10:BE10"/>
    <mergeCell ref="AX10:AY10"/>
    <mergeCell ref="AR34:AS34"/>
    <mergeCell ref="AP10:AQ10"/>
    <mergeCell ref="AL34:AM34"/>
    <mergeCell ref="AN34:AO34"/>
    <mergeCell ref="AL10:AM10"/>
    <mergeCell ref="AR10:AS10"/>
    <mergeCell ref="AR19:AS19"/>
    <mergeCell ref="AN10:AO10"/>
    <mergeCell ref="AL19:AM19"/>
    <mergeCell ref="AN19:AO19"/>
    <mergeCell ref="AJ10:AK10"/>
    <mergeCell ref="T10:U10"/>
    <mergeCell ref="V10:W10"/>
    <mergeCell ref="N10:O10"/>
    <mergeCell ref="P10:Q10"/>
    <mergeCell ref="R10:S10"/>
    <mergeCell ref="AF10:AG10"/>
    <mergeCell ref="AH10:AI10"/>
    <mergeCell ref="AB10:AC10"/>
    <mergeCell ref="AD10:AE10"/>
    <mergeCell ref="B34:C34"/>
    <mergeCell ref="F34:G34"/>
    <mergeCell ref="J34:K34"/>
    <mergeCell ref="D10:E10"/>
    <mergeCell ref="F10:G10"/>
    <mergeCell ref="H10:I10"/>
    <mergeCell ref="J10:K10"/>
    <mergeCell ref="B10:C10"/>
    <mergeCell ref="B19:C19"/>
    <mergeCell ref="F19:G19"/>
    <mergeCell ref="J19:K19"/>
    <mergeCell ref="AF19:AG19"/>
    <mergeCell ref="AH19:AI19"/>
    <mergeCell ref="L10:M10"/>
    <mergeCell ref="AH34:AI34"/>
    <mergeCell ref="N34:O34"/>
    <mergeCell ref="AF34:AG34"/>
    <mergeCell ref="N19:O19"/>
    <mergeCell ref="P19:Q19"/>
    <mergeCell ref="X10:Y10"/>
    <mergeCell ref="Z10:AA10"/>
    <mergeCell ref="L34:M34"/>
    <mergeCell ref="L19:M19"/>
  </mergeCells>
  <phoneticPr fontId="10" type="noConversion"/>
  <pageMargins left="0.7" right="0.7" top="0.75" bottom="0.75" header="0.3" footer="0.3"/>
  <pageSetup scale="1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2"/>
  <sheetViews>
    <sheetView zoomScale="85" zoomScaleNormal="85" workbookViewId="0">
      <pane xSplit="1" ySplit="2" topLeftCell="S27" activePane="bottomRight" state="frozenSplit"/>
      <selection pane="topRight"/>
      <selection pane="bottomLeft" activeCell="A3" sqref="A3"/>
      <selection pane="bottomRight" activeCell="U60" sqref="U60"/>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1" width="11.6640625" customWidth="1"/>
    <col min="12" max="13" width="9.109375" style="49" customWidth="1"/>
    <col min="14" max="15" width="11.6640625" customWidth="1"/>
    <col min="16" max="17" width="9.109375" style="49" customWidth="1"/>
    <col min="18" max="21" width="11.6640625" customWidth="1"/>
    <col min="22" max="23" width="9.109375" style="49" customWidth="1"/>
    <col min="24" max="25" width="11.6640625" customWidth="1"/>
    <col min="26" max="27" width="9.109375" style="49" customWidth="1"/>
  </cols>
  <sheetData>
    <row r="1" spans="1:27" s="19" customFormat="1" x14ac:dyDescent="0.3">
      <c r="A1" s="20" t="s">
        <v>39</v>
      </c>
      <c r="B1" s="113"/>
      <c r="C1" s="114"/>
      <c r="D1" s="59"/>
      <c r="E1" s="59"/>
      <c r="F1" s="114"/>
      <c r="G1" s="114"/>
      <c r="H1" s="59"/>
      <c r="I1" s="59"/>
      <c r="J1" s="113"/>
      <c r="K1" s="114"/>
      <c r="L1" s="59"/>
      <c r="M1" s="59"/>
      <c r="N1" s="114"/>
      <c r="O1" s="114"/>
      <c r="P1" s="59"/>
      <c r="Q1" s="59"/>
      <c r="R1" s="113"/>
      <c r="S1" s="114"/>
      <c r="T1" s="113"/>
      <c r="U1" s="114"/>
      <c r="V1" s="59"/>
      <c r="W1" s="59"/>
      <c r="X1" s="114"/>
      <c r="Y1" s="114"/>
      <c r="Z1" s="59"/>
      <c r="AA1" s="60"/>
    </row>
    <row r="2" spans="1:27" s="13" customFormat="1" x14ac:dyDescent="0.3">
      <c r="B2" s="115"/>
      <c r="C2" s="116" t="s">
        <v>275</v>
      </c>
      <c r="D2" s="61"/>
      <c r="E2" s="61" t="s">
        <v>276</v>
      </c>
      <c r="F2" s="116"/>
      <c r="G2" s="116" t="s">
        <v>277</v>
      </c>
      <c r="H2" s="61"/>
      <c r="I2" s="61" t="s">
        <v>278</v>
      </c>
      <c r="J2" s="115"/>
      <c r="K2" s="116" t="s">
        <v>280</v>
      </c>
      <c r="L2" s="61"/>
      <c r="M2" s="61" t="s">
        <v>281</v>
      </c>
      <c r="N2" s="116"/>
      <c r="O2" s="116" t="s">
        <v>282</v>
      </c>
      <c r="P2" s="61"/>
      <c r="Q2" s="61" t="s">
        <v>283</v>
      </c>
      <c r="R2" s="115"/>
      <c r="S2" s="116" t="s">
        <v>285</v>
      </c>
      <c r="T2" s="115"/>
      <c r="U2" s="116" t="s">
        <v>286</v>
      </c>
      <c r="V2" s="61"/>
      <c r="W2" s="61" t="s">
        <v>287</v>
      </c>
      <c r="X2" s="116"/>
      <c r="Y2" s="116" t="s">
        <v>288</v>
      </c>
      <c r="Z2" s="61"/>
      <c r="AA2" s="62" t="s">
        <v>289</v>
      </c>
    </row>
    <row r="3" spans="1:27" s="13" customFormat="1" x14ac:dyDescent="0.3">
      <c r="B3" s="115" t="s">
        <v>61</v>
      </c>
      <c r="C3" s="116" t="s">
        <v>60</v>
      </c>
      <c r="D3" s="61"/>
      <c r="E3" s="61"/>
      <c r="F3" s="116" t="s">
        <v>61</v>
      </c>
      <c r="G3" s="116" t="s">
        <v>60</v>
      </c>
      <c r="H3" s="61"/>
      <c r="I3" s="61"/>
      <c r="J3" s="115" t="s">
        <v>61</v>
      </c>
      <c r="K3" s="116" t="s">
        <v>60</v>
      </c>
      <c r="L3" s="61"/>
      <c r="M3" s="61"/>
      <c r="N3" s="116" t="s">
        <v>61</v>
      </c>
      <c r="O3" s="116" t="s">
        <v>60</v>
      </c>
      <c r="P3" s="61"/>
      <c r="Q3" s="61"/>
      <c r="R3" s="115" t="s">
        <v>61</v>
      </c>
      <c r="S3" s="116" t="s">
        <v>60</v>
      </c>
      <c r="T3" s="115" t="s">
        <v>61</v>
      </c>
      <c r="U3" s="116" t="s">
        <v>60</v>
      </c>
      <c r="V3" s="61"/>
      <c r="W3" s="61"/>
      <c r="X3" s="116" t="s">
        <v>61</v>
      </c>
      <c r="Y3" s="116" t="s">
        <v>60</v>
      </c>
      <c r="Z3" s="61"/>
      <c r="AA3" s="62"/>
    </row>
    <row r="4" spans="1:27" x14ac:dyDescent="0.3">
      <c r="A4" t="s">
        <v>1</v>
      </c>
      <c r="B4" s="117">
        <v>521.58699999999999</v>
      </c>
      <c r="C4" s="118">
        <f>960-464.127</f>
        <v>495.87299999999999</v>
      </c>
      <c r="D4" s="63">
        <v>868</v>
      </c>
      <c r="E4" s="63">
        <v>235</v>
      </c>
      <c r="F4" s="118">
        <v>673.63800000000003</v>
      </c>
      <c r="G4" s="118">
        <f>960-481.366</f>
        <v>478.63400000000001</v>
      </c>
      <c r="H4" s="63">
        <v>735</v>
      </c>
      <c r="I4" s="63">
        <v>678</v>
      </c>
      <c r="J4" s="117">
        <v>522.85699999999997</v>
      </c>
      <c r="K4" s="118">
        <f>960-541.448</f>
        <v>418.55200000000002</v>
      </c>
      <c r="L4" s="63">
        <v>599</v>
      </c>
      <c r="M4" s="63">
        <v>733</v>
      </c>
      <c r="N4" s="118">
        <v>539.51900000000001</v>
      </c>
      <c r="O4" s="118">
        <f>960-514.536</f>
        <v>445.46400000000006</v>
      </c>
      <c r="P4" s="63">
        <v>1001</v>
      </c>
      <c r="Q4" s="63">
        <v>350</v>
      </c>
      <c r="R4" s="117">
        <v>518.51099999999997</v>
      </c>
      <c r="S4" s="118">
        <f>960-481.553</f>
        <v>478.447</v>
      </c>
      <c r="T4" s="117">
        <v>660</v>
      </c>
      <c r="U4" s="118">
        <v>360</v>
      </c>
      <c r="V4" s="63">
        <v>759</v>
      </c>
      <c r="W4" s="63">
        <v>632</v>
      </c>
      <c r="X4" s="118">
        <v>729</v>
      </c>
      <c r="Y4" s="118">
        <v>392</v>
      </c>
      <c r="Z4" s="63">
        <v>987</v>
      </c>
      <c r="AA4" s="64">
        <v>427</v>
      </c>
    </row>
    <row r="5" spans="1:27" x14ac:dyDescent="0.3">
      <c r="A5" t="s">
        <v>2</v>
      </c>
      <c r="B5" s="117">
        <v>537.30600000000004</v>
      </c>
      <c r="C5" s="118">
        <f>960-501.231</f>
        <v>458.76900000000001</v>
      </c>
      <c r="D5" s="63">
        <v>362</v>
      </c>
      <c r="E5" s="63">
        <v>561</v>
      </c>
      <c r="F5" s="74">
        <v>702.90200000000004</v>
      </c>
      <c r="G5" s="74">
        <f>960-453.254</f>
        <v>506.74599999999998</v>
      </c>
      <c r="H5" s="63">
        <v>640</v>
      </c>
      <c r="I5" s="63">
        <v>94</v>
      </c>
      <c r="J5" s="117">
        <v>532.62199999999996</v>
      </c>
      <c r="K5" s="118">
        <f>960-550.771</f>
        <v>409.22900000000004</v>
      </c>
      <c r="L5" s="63">
        <v>510</v>
      </c>
      <c r="M5" s="63">
        <v>231</v>
      </c>
      <c r="N5" s="74">
        <v>530.42200000000003</v>
      </c>
      <c r="O5" s="74">
        <f>960-523.647</f>
        <v>436.35299999999995</v>
      </c>
      <c r="P5" s="63">
        <v>458</v>
      </c>
      <c r="Q5" s="63">
        <v>456</v>
      </c>
      <c r="R5" s="73">
        <v>566.12099999999998</v>
      </c>
      <c r="S5" s="74">
        <f>960-511.487</f>
        <v>448.51299999999998</v>
      </c>
      <c r="T5" s="117">
        <v>667</v>
      </c>
      <c r="U5" s="118">
        <v>371</v>
      </c>
      <c r="V5" s="63">
        <v>610</v>
      </c>
      <c r="W5" s="63">
        <v>29</v>
      </c>
      <c r="X5" s="74">
        <v>745</v>
      </c>
      <c r="Y5" s="74">
        <v>380</v>
      </c>
      <c r="Z5" s="63">
        <v>394</v>
      </c>
      <c r="AA5" s="64">
        <v>606</v>
      </c>
    </row>
    <row r="6" spans="1:27" x14ac:dyDescent="0.3">
      <c r="A6" t="s">
        <v>4</v>
      </c>
      <c r="B6" s="117">
        <f t="shared" ref="B6:G6" si="0">B5-B4</f>
        <v>15.719000000000051</v>
      </c>
      <c r="C6" s="118">
        <f t="shared" si="0"/>
        <v>-37.103999999999985</v>
      </c>
      <c r="D6" s="63">
        <f t="shared" si="0"/>
        <v>-506</v>
      </c>
      <c r="E6" s="63">
        <f t="shared" si="0"/>
        <v>326</v>
      </c>
      <c r="F6" s="74">
        <f t="shared" si="0"/>
        <v>29.26400000000001</v>
      </c>
      <c r="G6" s="74">
        <f t="shared" si="0"/>
        <v>28.111999999999966</v>
      </c>
      <c r="H6" s="63">
        <f t="shared" ref="H6:Q6" si="1">H5-H4</f>
        <v>-95</v>
      </c>
      <c r="I6" s="63">
        <f t="shared" si="1"/>
        <v>-584</v>
      </c>
      <c r="J6" s="117">
        <f t="shared" si="1"/>
        <v>9.7649999999999864</v>
      </c>
      <c r="K6" s="118">
        <f t="shared" si="1"/>
        <v>-9.3229999999999791</v>
      </c>
      <c r="L6" s="63">
        <f t="shared" si="1"/>
        <v>-89</v>
      </c>
      <c r="M6" s="63">
        <f t="shared" si="1"/>
        <v>-502</v>
      </c>
      <c r="N6" s="74">
        <f t="shared" si="1"/>
        <v>-9.09699999999998</v>
      </c>
      <c r="O6" s="74">
        <f t="shared" si="1"/>
        <v>-9.1110000000001037</v>
      </c>
      <c r="P6" s="63">
        <f t="shared" si="1"/>
        <v>-543</v>
      </c>
      <c r="Q6" s="63">
        <f t="shared" si="1"/>
        <v>106</v>
      </c>
      <c r="R6" s="73">
        <f>R5-R4</f>
        <v>47.610000000000014</v>
      </c>
      <c r="S6" s="74">
        <f>S5-S4</f>
        <v>-29.934000000000026</v>
      </c>
      <c r="T6" s="117">
        <f t="shared" ref="T6:AA6" si="2">T5-T4</f>
        <v>7</v>
      </c>
      <c r="U6" s="118">
        <f t="shared" si="2"/>
        <v>11</v>
      </c>
      <c r="V6" s="63">
        <f t="shared" si="2"/>
        <v>-149</v>
      </c>
      <c r="W6" s="63">
        <f t="shared" si="2"/>
        <v>-603</v>
      </c>
      <c r="X6" s="74">
        <f t="shared" si="2"/>
        <v>16</v>
      </c>
      <c r="Y6" s="74">
        <f t="shared" si="2"/>
        <v>-12</v>
      </c>
      <c r="Z6" s="63">
        <f t="shared" si="2"/>
        <v>-593</v>
      </c>
      <c r="AA6" s="64">
        <f t="shared" si="2"/>
        <v>179</v>
      </c>
    </row>
    <row r="7" spans="1:27" x14ac:dyDescent="0.3">
      <c r="A7" t="s">
        <v>5</v>
      </c>
      <c r="B7" s="117">
        <f t="shared" ref="B7:G7" si="3">B6^2</f>
        <v>247.08696100000159</v>
      </c>
      <c r="C7" s="118">
        <f t="shared" si="3"/>
        <v>1376.706815999999</v>
      </c>
      <c r="D7" s="63">
        <f t="shared" si="3"/>
        <v>256036</v>
      </c>
      <c r="E7" s="63">
        <f t="shared" si="3"/>
        <v>106276</v>
      </c>
      <c r="F7" s="74">
        <f t="shared" si="3"/>
        <v>856.3816960000006</v>
      </c>
      <c r="G7" s="74">
        <f t="shared" si="3"/>
        <v>790.28454399999816</v>
      </c>
      <c r="H7" s="63">
        <f t="shared" ref="H7:Q7" si="4">H6^2</f>
        <v>9025</v>
      </c>
      <c r="I7" s="63">
        <f t="shared" si="4"/>
        <v>341056</v>
      </c>
      <c r="J7" s="117">
        <f t="shared" si="4"/>
        <v>95.355224999999734</v>
      </c>
      <c r="K7" s="118">
        <f t="shared" si="4"/>
        <v>86.918328999999616</v>
      </c>
      <c r="L7" s="63">
        <f t="shared" si="4"/>
        <v>7921</v>
      </c>
      <c r="M7" s="63">
        <f t="shared" si="4"/>
        <v>252004</v>
      </c>
      <c r="N7" s="74">
        <f t="shared" si="4"/>
        <v>82.755408999999631</v>
      </c>
      <c r="O7" s="74">
        <f t="shared" si="4"/>
        <v>83.010321000001895</v>
      </c>
      <c r="P7" s="63">
        <f t="shared" si="4"/>
        <v>294849</v>
      </c>
      <c r="Q7" s="63">
        <f t="shared" si="4"/>
        <v>11236</v>
      </c>
      <c r="R7" s="73">
        <f>R6^2</f>
        <v>2266.7121000000011</v>
      </c>
      <c r="S7" s="74">
        <f>S6^2</f>
        <v>896.04435600000159</v>
      </c>
      <c r="T7" s="117">
        <f t="shared" ref="T7:AA7" si="5">T6^2</f>
        <v>49</v>
      </c>
      <c r="U7" s="118">
        <f t="shared" si="5"/>
        <v>121</v>
      </c>
      <c r="V7" s="63">
        <f t="shared" si="5"/>
        <v>22201</v>
      </c>
      <c r="W7" s="63">
        <f t="shared" si="5"/>
        <v>363609</v>
      </c>
      <c r="X7" s="74">
        <f t="shared" si="5"/>
        <v>256</v>
      </c>
      <c r="Y7" s="74">
        <f t="shared" si="5"/>
        <v>144</v>
      </c>
      <c r="Z7" s="63">
        <f t="shared" si="5"/>
        <v>351649</v>
      </c>
      <c r="AA7" s="64">
        <f t="shared" si="5"/>
        <v>32041</v>
      </c>
    </row>
    <row r="8" spans="1:27" x14ac:dyDescent="0.3">
      <c r="A8" t="s">
        <v>6</v>
      </c>
      <c r="B8" s="117"/>
      <c r="C8" s="118">
        <f>SQRT(SUM(B7:C7))</f>
        <v>40.296324609075711</v>
      </c>
      <c r="D8" s="63"/>
      <c r="E8" s="63">
        <f>SQRT(SUM(D7:E7))</f>
        <v>601.92358318976005</v>
      </c>
      <c r="F8" s="74"/>
      <c r="G8" s="74">
        <f>SQRT(SUM(F7:G7))</f>
        <v>40.579135525538227</v>
      </c>
      <c r="H8" s="63"/>
      <c r="I8" s="63">
        <f>SQRT(SUM(H7:I7))</f>
        <v>591.67643184429778</v>
      </c>
      <c r="J8" s="117"/>
      <c r="K8" s="118">
        <f>SQRT(SUM(J7:K7))</f>
        <v>13.50087234218587</v>
      </c>
      <c r="L8" s="63"/>
      <c r="M8" s="63">
        <f>SQRT(SUM(L7:M7))</f>
        <v>509.82840250421515</v>
      </c>
      <c r="N8" s="74"/>
      <c r="O8" s="74">
        <f>SQRT(SUM(N7:O7))</f>
        <v>12.875004077669317</v>
      </c>
      <c r="P8" s="63"/>
      <c r="Q8" s="63">
        <f>SQRT(SUM(P7:Q7))</f>
        <v>553.24949164007376</v>
      </c>
      <c r="R8" s="73"/>
      <c r="S8" s="74">
        <f>SQRT(SUM(R7:S7))</f>
        <v>56.238389521749312</v>
      </c>
      <c r="T8" s="117"/>
      <c r="U8" s="118">
        <f>SQRT(SUM(T7:U7))</f>
        <v>13.038404810405298</v>
      </c>
      <c r="V8" s="63"/>
      <c r="W8" s="63">
        <f>SQRT(SUM(V7:W7))</f>
        <v>621.13605594909723</v>
      </c>
      <c r="X8" s="74"/>
      <c r="Y8" s="74">
        <f>SQRT(SUM(X7:Y7))</f>
        <v>20</v>
      </c>
      <c r="Z8" s="63"/>
      <c r="AA8" s="64">
        <f>SQRT(SUM(Z7:AA7))</f>
        <v>619.42715471635563</v>
      </c>
    </row>
    <row r="9" spans="1:27" x14ac:dyDescent="0.3">
      <c r="A9" t="s">
        <v>7</v>
      </c>
      <c r="B9" s="117"/>
      <c r="C9" s="118">
        <f>MOD(ATAN2(C6,B6)*180/PI()+270,360)</f>
        <v>67.040198862543889</v>
      </c>
      <c r="D9" s="63"/>
      <c r="E9" s="63">
        <f>MOD(ATAN2(E6,D6)*180/PI()+270,360)</f>
        <v>212.79241908552652</v>
      </c>
      <c r="F9" s="74"/>
      <c r="G9" s="74">
        <f>MOD(ATAN2(G6,F6)*180/PI()+270,360)</f>
        <v>316.15023477867618</v>
      </c>
      <c r="H9" s="63"/>
      <c r="I9" s="63">
        <f>MOD(ATAN2(I6,H6)*180/PI()+270,360)</f>
        <v>99.239444501090929</v>
      </c>
      <c r="J9" s="117"/>
      <c r="K9" s="118">
        <f>MOD(ATAN2(K6,J6)*180/PI()+270,360)</f>
        <v>43.67350117043361</v>
      </c>
      <c r="L9" s="63"/>
      <c r="M9" s="63">
        <f>MOD(ATAN2(M6,L6)*180/PI()+270,360)</f>
        <v>100.05355080155709</v>
      </c>
      <c r="N9" s="74"/>
      <c r="O9" s="74">
        <f>MOD(ATAN2(O6,N6)*180/PI()+270,360)</f>
        <v>134.9559456966654</v>
      </c>
      <c r="P9" s="63"/>
      <c r="Q9" s="63">
        <f>MOD(ATAN2(Q6,P6)*180/PI()+270,360)</f>
        <v>191.0458984927611</v>
      </c>
      <c r="R9" s="73"/>
      <c r="S9" s="74">
        <f>MOD(ATAN2(S6,R6)*180/PI()+270,360)</f>
        <v>32.158949136596959</v>
      </c>
      <c r="T9" s="117"/>
      <c r="U9" s="118">
        <f>MOD(ATAN2(U6,T6)*180/PI()+270,360)</f>
        <v>302.47119229084848</v>
      </c>
      <c r="V9" s="63"/>
      <c r="W9" s="63">
        <f>MOD(ATAN2(W6,V6)*180/PI()+270,360)</f>
        <v>103.87963688541922</v>
      </c>
      <c r="X9" s="74"/>
      <c r="Y9" s="74">
        <f>MOD(ATAN2(Y6,X6)*180/PI()+270,360)</f>
        <v>36.869897645844048</v>
      </c>
      <c r="Z9" s="63"/>
      <c r="AA9" s="64">
        <f>MOD(ATAN2(AA6,Z6)*180/PI()+270,360)</f>
        <v>196.79670100944233</v>
      </c>
    </row>
    <row r="10" spans="1:27" s="17" customFormat="1" ht="117" customHeight="1" x14ac:dyDescent="0.3">
      <c r="A10" s="16" t="s">
        <v>40</v>
      </c>
      <c r="B10" s="383" t="s">
        <v>279</v>
      </c>
      <c r="C10" s="384"/>
      <c r="D10" s="385"/>
      <c r="E10" s="385"/>
      <c r="F10" s="383" t="s">
        <v>279</v>
      </c>
      <c r="G10" s="384"/>
      <c r="H10" s="382"/>
      <c r="I10" s="382"/>
      <c r="J10" s="383" t="s">
        <v>279</v>
      </c>
      <c r="K10" s="384"/>
      <c r="L10" s="385"/>
      <c r="M10" s="385"/>
      <c r="N10" s="383" t="s">
        <v>279</v>
      </c>
      <c r="O10" s="384"/>
      <c r="P10" s="382"/>
      <c r="Q10" s="382"/>
      <c r="R10" s="383" t="s">
        <v>279</v>
      </c>
      <c r="S10" s="384"/>
      <c r="T10" s="383" t="s">
        <v>290</v>
      </c>
      <c r="U10" s="384"/>
      <c r="V10" s="385"/>
      <c r="W10" s="386"/>
      <c r="X10" s="383" t="s">
        <v>290</v>
      </c>
      <c r="Y10" s="384"/>
      <c r="Z10" s="382"/>
      <c r="AA10" s="409"/>
    </row>
    <row r="11" spans="1:27" s="19" customFormat="1" x14ac:dyDescent="0.3">
      <c r="A11" s="20" t="s">
        <v>37</v>
      </c>
      <c r="B11" s="119"/>
      <c r="C11" s="120"/>
      <c r="D11" s="67"/>
      <c r="E11" s="67"/>
      <c r="F11" s="120"/>
      <c r="G11" s="120"/>
      <c r="H11" s="67"/>
      <c r="I11" s="67"/>
      <c r="J11" s="119"/>
      <c r="K11" s="120"/>
      <c r="L11" s="67"/>
      <c r="M11" s="67"/>
      <c r="N11" s="120"/>
      <c r="O11" s="120"/>
      <c r="P11" s="67"/>
      <c r="Q11" s="67"/>
      <c r="R11" s="119"/>
      <c r="S11" s="120"/>
      <c r="T11" s="119"/>
      <c r="U11" s="120"/>
      <c r="V11" s="67"/>
      <c r="W11" s="67"/>
      <c r="X11" s="120"/>
      <c r="Y11" s="120"/>
      <c r="Z11" s="67"/>
      <c r="AA11" s="68"/>
    </row>
    <row r="12" spans="1:27" s="1" customFormat="1" x14ac:dyDescent="0.3">
      <c r="B12" s="121" t="s">
        <v>62</v>
      </c>
      <c r="C12" s="122" t="s">
        <v>63</v>
      </c>
      <c r="D12" s="69"/>
      <c r="E12" s="69"/>
      <c r="F12" s="122" t="s">
        <v>62</v>
      </c>
      <c r="G12" s="122" t="s">
        <v>63</v>
      </c>
      <c r="H12" s="69"/>
      <c r="I12" s="69"/>
      <c r="J12" s="121" t="s">
        <v>62</v>
      </c>
      <c r="K12" s="122" t="s">
        <v>63</v>
      </c>
      <c r="L12" s="69"/>
      <c r="M12" s="69"/>
      <c r="N12" s="122" t="s">
        <v>62</v>
      </c>
      <c r="O12" s="122" t="s">
        <v>63</v>
      </c>
      <c r="P12" s="69"/>
      <c r="Q12" s="69"/>
      <c r="R12" s="121" t="s">
        <v>62</v>
      </c>
      <c r="S12" s="122" t="s">
        <v>63</v>
      </c>
      <c r="T12" s="121" t="s">
        <v>62</v>
      </c>
      <c r="U12" s="122" t="s">
        <v>63</v>
      </c>
      <c r="V12" s="69"/>
      <c r="W12" s="69"/>
      <c r="X12" s="122" t="s">
        <v>62</v>
      </c>
      <c r="Y12" s="122" t="s">
        <v>63</v>
      </c>
      <c r="Z12" s="69"/>
      <c r="AA12" s="70"/>
    </row>
    <row r="13" spans="1:27" x14ac:dyDescent="0.3">
      <c r="A13" t="s">
        <v>18</v>
      </c>
      <c r="B13" s="117"/>
      <c r="C13" s="118"/>
      <c r="D13" s="63"/>
      <c r="E13" s="63"/>
      <c r="F13" s="118"/>
      <c r="G13" s="118"/>
      <c r="H13" s="63"/>
      <c r="I13" s="63"/>
      <c r="J13" s="117"/>
      <c r="K13" s="118"/>
      <c r="L13" s="63"/>
      <c r="M13" s="63"/>
      <c r="N13" s="118"/>
      <c r="O13" s="118"/>
      <c r="P13" s="63"/>
      <c r="Q13" s="63"/>
      <c r="R13" s="117"/>
      <c r="S13" s="118"/>
      <c r="T13" s="117"/>
      <c r="U13" s="118"/>
      <c r="V13" s="63"/>
      <c r="W13" s="63"/>
      <c r="X13" s="118"/>
      <c r="Y13" s="118"/>
      <c r="Z13" s="63"/>
      <c r="AA13" s="64"/>
    </row>
    <row r="14" spans="1:27" x14ac:dyDescent="0.3">
      <c r="A14" t="s">
        <v>17</v>
      </c>
      <c r="B14" s="117"/>
      <c r="C14" s="118"/>
      <c r="D14" s="63"/>
      <c r="E14" s="63"/>
      <c r="F14" s="118"/>
      <c r="G14" s="118"/>
      <c r="H14" s="63"/>
      <c r="I14" s="63"/>
      <c r="J14" s="117"/>
      <c r="K14" s="118"/>
      <c r="L14" s="63"/>
      <c r="M14" s="63"/>
      <c r="N14" s="118"/>
      <c r="O14" s="118"/>
      <c r="P14" s="63"/>
      <c r="Q14" s="63"/>
      <c r="R14" s="117"/>
      <c r="S14" s="118"/>
      <c r="T14" s="117"/>
      <c r="U14" s="118"/>
      <c r="V14" s="63"/>
      <c r="W14" s="63"/>
      <c r="X14" s="118"/>
      <c r="Y14" s="118"/>
      <c r="Z14" s="63"/>
      <c r="AA14" s="64"/>
    </row>
    <row r="15" spans="1:27" x14ac:dyDescent="0.3">
      <c r="A15" t="s">
        <v>14</v>
      </c>
      <c r="B15" s="117"/>
      <c r="C15" s="118"/>
      <c r="D15" s="63"/>
      <c r="E15" s="63"/>
      <c r="F15" s="118"/>
      <c r="G15" s="118"/>
      <c r="H15" s="63"/>
      <c r="I15" s="63"/>
      <c r="J15" s="117"/>
      <c r="K15" s="118"/>
      <c r="L15" s="63"/>
      <c r="M15" s="63"/>
      <c r="N15" s="118"/>
      <c r="O15" s="118"/>
      <c r="P15" s="63"/>
      <c r="Q15" s="63"/>
      <c r="R15" s="117"/>
      <c r="S15" s="118"/>
      <c r="T15" s="117"/>
      <c r="U15" s="118"/>
      <c r="V15" s="63"/>
      <c r="W15" s="63"/>
      <c r="X15" s="118"/>
      <c r="Y15" s="118"/>
      <c r="Z15" s="63"/>
      <c r="AA15" s="64"/>
    </row>
    <row r="16" spans="1:27" x14ac:dyDescent="0.3">
      <c r="A16" t="s">
        <v>13</v>
      </c>
      <c r="B16" s="117"/>
      <c r="C16" s="118">
        <v>4.4480000000000004</v>
      </c>
      <c r="D16" s="63"/>
      <c r="E16" s="111">
        <f>5*15.0412*COS((19+58/60+23/3600)*PI()/180)</f>
        <v>70.682611674487532</v>
      </c>
      <c r="F16" s="123"/>
      <c r="G16" s="118">
        <v>4.4480000000000004</v>
      </c>
      <c r="H16" s="63"/>
      <c r="I16" s="111">
        <f>5*15.0412*COS((19+58/60+23/3600)*PI()/180)</f>
        <v>70.682611674487532</v>
      </c>
      <c r="J16" s="117"/>
      <c r="K16" s="118">
        <v>1.6259999999999999</v>
      </c>
      <c r="L16" s="63"/>
      <c r="M16" s="111">
        <f>5*15.0412*COS((31+31/39+23/3600)*PI()/180)</f>
        <v>63.916157865913434</v>
      </c>
      <c r="N16" s="123"/>
      <c r="O16" s="118">
        <v>1.6259999999999999</v>
      </c>
      <c r="P16" s="63"/>
      <c r="Q16" s="111">
        <f>5*15.0412*COS((31+31/39+23/3600)*PI()/180)</f>
        <v>63.916157865913434</v>
      </c>
      <c r="S16">
        <v>6.5</v>
      </c>
      <c r="T16" s="117"/>
      <c r="U16" s="118">
        <v>1.9550000000000001</v>
      </c>
      <c r="V16" s="63"/>
      <c r="W16" s="111">
        <f>5*15.0412*COS((10+31/39+44/3600)*PI()/180)</f>
        <v>73.872149601149104</v>
      </c>
      <c r="X16" s="123"/>
      <c r="Y16" s="118">
        <v>1.9550000000000001</v>
      </c>
      <c r="Z16" s="63"/>
      <c r="AA16" s="124">
        <f>5*15.0412*COS((10+31/39+44/3600)*PI()/180)</f>
        <v>73.872149601149104</v>
      </c>
    </row>
    <row r="17" spans="1:27" x14ac:dyDescent="0.3">
      <c r="A17" t="s">
        <v>7</v>
      </c>
      <c r="B17" s="117"/>
      <c r="C17" s="118">
        <v>125.66</v>
      </c>
      <c r="D17" s="63"/>
      <c r="E17" s="63">
        <v>-90</v>
      </c>
      <c r="F17" s="123"/>
      <c r="G17" s="118">
        <v>125.66</v>
      </c>
      <c r="H17" s="63"/>
      <c r="I17" s="63">
        <v>-90</v>
      </c>
      <c r="J17" s="117"/>
      <c r="K17" s="118">
        <v>213.31</v>
      </c>
      <c r="L17" s="63"/>
      <c r="M17" s="63">
        <v>-90</v>
      </c>
      <c r="N17" s="123"/>
      <c r="O17" s="118">
        <v>213.31</v>
      </c>
      <c r="P17" s="63"/>
      <c r="Q17" s="63">
        <v>-90</v>
      </c>
      <c r="S17">
        <v>110</v>
      </c>
      <c r="T17" s="117"/>
      <c r="U17" s="118">
        <v>100.99</v>
      </c>
      <c r="V17" s="63"/>
      <c r="W17" s="63">
        <v>-90</v>
      </c>
      <c r="X17" s="123"/>
      <c r="Y17" s="118">
        <v>100.99</v>
      </c>
      <c r="Z17" s="63"/>
      <c r="AA17" s="64">
        <v>-90</v>
      </c>
    </row>
    <row r="18" spans="1:27" x14ac:dyDescent="0.3">
      <c r="A18" t="s">
        <v>32</v>
      </c>
      <c r="B18" s="71">
        <f>-C16*SIN((C17)/180*PI())</f>
        <v>-3.6139587117836545</v>
      </c>
      <c r="C18" s="72">
        <f>C16*COS((C17)/180*PI())</f>
        <v>-2.5930689210900337</v>
      </c>
      <c r="D18" s="72">
        <f>-E16*SIN((E17)/180*PI())</f>
        <v>70.682611674487532</v>
      </c>
      <c r="E18" s="72">
        <f>E16*COS((E17)/180*PI())</f>
        <v>4.3298346240952195E-15</v>
      </c>
      <c r="F18" s="72">
        <f>-G16*SIN((G17)/180*PI())</f>
        <v>-3.6139587117836545</v>
      </c>
      <c r="G18" s="72">
        <f>G16*COS((G17)/180*PI())</f>
        <v>-2.5930689210900337</v>
      </c>
      <c r="H18" s="72">
        <f>-I16*SIN((I17)/180*PI())</f>
        <v>70.682611674487532</v>
      </c>
      <c r="I18" s="72">
        <f>I16*COS((I17)/180*PI())</f>
        <v>4.3298346240952195E-15</v>
      </c>
      <c r="J18" s="71">
        <f>-K16*SIN((K17)/180*PI())</f>
        <v>0.89294828268637816</v>
      </c>
      <c r="K18" s="72">
        <f>K16*COS((K17)/180*PI())</f>
        <v>-1.3588669414064969</v>
      </c>
      <c r="L18" s="72">
        <f>-M16*SIN((M17)/180*PI())</f>
        <v>63.916157865913434</v>
      </c>
      <c r="M18" s="72">
        <f>M16*COS((M17)/180*PI())</f>
        <v>3.9153391026559641E-15</v>
      </c>
      <c r="N18" s="72">
        <f>-O16*SIN((O17)/180*PI())</f>
        <v>0.89294828268637816</v>
      </c>
      <c r="O18" s="72">
        <f>O16*COS((O17)/180*PI())</f>
        <v>-1.3588669414064969</v>
      </c>
      <c r="P18" s="72">
        <f>-Q16*SIN((Q17)/180*PI())</f>
        <v>63.916157865913434</v>
      </c>
      <c r="Q18" s="72">
        <f>Q16*COS((Q17)/180*PI())</f>
        <v>3.9153391026559641E-15</v>
      </c>
      <c r="R18" s="9">
        <f>-S16*SIN((S17)/180*PI())</f>
        <v>-6.108002035108405</v>
      </c>
      <c r="S18" s="9">
        <f>S16*COS((S17)/180*PI())</f>
        <v>-2.2231309316168466</v>
      </c>
      <c r="T18" s="71">
        <f>-U16*SIN((U17)/180*PI())</f>
        <v>-1.9191462207044652</v>
      </c>
      <c r="U18" s="72">
        <f>U16*COS((U17)/180*PI())</f>
        <v>-0.37269663743555465</v>
      </c>
      <c r="V18" s="72">
        <f>-W16*SIN((W17)/180*PI())</f>
        <v>73.872149601149104</v>
      </c>
      <c r="W18" s="72">
        <f>W16*COS((W17)/180*PI())</f>
        <v>4.525217497231313E-15</v>
      </c>
      <c r="X18" s="72">
        <f>-Y16*SIN((Y17)/180*PI())</f>
        <v>-1.9191462207044652</v>
      </c>
      <c r="Y18" s="72">
        <f>Y16*COS((Y17)/180*PI())</f>
        <v>-0.37269663743555465</v>
      </c>
      <c r="Z18" s="72">
        <f>-AA16*SIN((AA17)/180*PI())</f>
        <v>73.872149601149104</v>
      </c>
      <c r="AA18" s="125">
        <f>AA16*COS((AA17)/180*PI())</f>
        <v>4.525217497231313E-15</v>
      </c>
    </row>
    <row r="19" spans="1:27" s="14" customFormat="1" ht="69" customHeight="1" x14ac:dyDescent="0.3">
      <c r="A19" s="15" t="s">
        <v>40</v>
      </c>
      <c r="B19" s="387"/>
      <c r="C19" s="388"/>
      <c r="D19" s="65"/>
      <c r="E19" s="65"/>
      <c r="F19" s="388"/>
      <c r="G19" s="388"/>
      <c r="H19" s="65"/>
      <c r="I19" s="65"/>
      <c r="J19" s="387"/>
      <c r="K19" s="388"/>
      <c r="L19" s="65"/>
      <c r="M19" s="65"/>
      <c r="N19" s="388"/>
      <c r="O19" s="388"/>
      <c r="P19" s="65"/>
      <c r="Q19" s="65"/>
      <c r="R19" s="389" t="s">
        <v>284</v>
      </c>
      <c r="S19" s="389"/>
      <c r="T19" s="387"/>
      <c r="U19" s="388"/>
      <c r="V19" s="65"/>
      <c r="W19" s="65"/>
      <c r="X19" s="388"/>
      <c r="Y19" s="388"/>
      <c r="Z19" s="65"/>
      <c r="AA19" s="66"/>
    </row>
    <row r="20" spans="1:27" s="19" customFormat="1" x14ac:dyDescent="0.3">
      <c r="A20" s="18" t="s">
        <v>38</v>
      </c>
      <c r="B20" s="126"/>
      <c r="C20" s="127"/>
      <c r="D20" s="67"/>
      <c r="E20" s="67"/>
      <c r="F20" s="127"/>
      <c r="G20" s="127"/>
      <c r="H20" s="67"/>
      <c r="I20" s="67"/>
      <c r="J20" s="126"/>
      <c r="K20" s="127"/>
      <c r="L20" s="67"/>
      <c r="M20" s="67"/>
      <c r="N20" s="127"/>
      <c r="O20" s="127"/>
      <c r="P20" s="67"/>
      <c r="Q20" s="67"/>
      <c r="R20" s="126"/>
      <c r="S20" s="127"/>
      <c r="T20" s="126"/>
      <c r="U20" s="127"/>
      <c r="V20" s="67"/>
      <c r="W20" s="67"/>
      <c r="X20" s="127"/>
      <c r="Y20" s="127"/>
      <c r="Z20" s="67"/>
      <c r="AA20" s="68"/>
    </row>
    <row r="21" spans="1:27" x14ac:dyDescent="0.3">
      <c r="A21" s="7" t="s">
        <v>65</v>
      </c>
      <c r="B21" s="117"/>
      <c r="C21" s="118">
        <f>C16/C8</f>
        <v>0.11038227538494175</v>
      </c>
      <c r="D21" s="63"/>
      <c r="E21" s="118">
        <f>E16/E8</f>
        <v>0.11742788229017505</v>
      </c>
      <c r="F21" s="118"/>
      <c r="G21" s="118">
        <f>G16/G8</f>
        <v>0.10961298072012104</v>
      </c>
      <c r="H21" s="63"/>
      <c r="I21" s="118">
        <f>I16/I8</f>
        <v>0.11946159737031399</v>
      </c>
      <c r="J21" s="117"/>
      <c r="K21" s="118">
        <f>K16/K8</f>
        <v>0.12043666207547749</v>
      </c>
      <c r="L21" s="63"/>
      <c r="M21" s="118">
        <f>M16/M8</f>
        <v>0.12536798176006875</v>
      </c>
      <c r="N21" s="118"/>
      <c r="O21" s="118">
        <f>O16/O8</f>
        <v>0.12629122213795405</v>
      </c>
      <c r="P21" s="63"/>
      <c r="Q21" s="118">
        <f>Q16/Q8</f>
        <v>0.11552863370274043</v>
      </c>
      <c r="R21" s="117"/>
      <c r="S21" s="118">
        <f>S16/S8</f>
        <v>0.11557941212890221</v>
      </c>
      <c r="T21" s="117"/>
      <c r="U21" s="118">
        <f>U16/U8</f>
        <v>0.14994165531966092</v>
      </c>
      <c r="V21" s="63"/>
      <c r="W21" s="118">
        <f>W16/W8</f>
        <v>0.1189307059115612</v>
      </c>
      <c r="X21" s="118"/>
      <c r="Y21" s="118">
        <f>Y16/Y8</f>
        <v>9.7750000000000004E-2</v>
      </c>
      <c r="Z21" s="63"/>
      <c r="AA21" s="128">
        <f>AA16/AA8</f>
        <v>0.11925881685793416</v>
      </c>
    </row>
    <row r="22" spans="1:27" x14ac:dyDescent="0.3">
      <c r="A22" t="s">
        <v>34</v>
      </c>
      <c r="B22" s="117">
        <f>STDEV(B21:S21,W21,AA21)</f>
        <v>5.2365536763049943E-3</v>
      </c>
      <c r="C22" s="129">
        <f>AVERAGE(B21:S21,W21,AA21)</f>
        <v>0.11802528821274456</v>
      </c>
      <c r="D22" s="63"/>
      <c r="E22" s="63"/>
      <c r="F22" s="118"/>
      <c r="G22" s="118"/>
      <c r="H22" s="63"/>
      <c r="I22" s="63"/>
      <c r="J22" s="117"/>
      <c r="K22" s="129"/>
      <c r="L22" s="63"/>
      <c r="M22" s="63"/>
      <c r="N22" s="118"/>
      <c r="O22" s="118"/>
      <c r="P22" s="63"/>
      <c r="Q22" s="63"/>
      <c r="R22" s="117"/>
      <c r="S22" s="118"/>
      <c r="T22" s="117"/>
      <c r="U22" s="129"/>
      <c r="V22" s="63"/>
      <c r="W22" s="63"/>
      <c r="X22" s="118"/>
      <c r="Y22" s="118"/>
      <c r="Z22" s="63"/>
      <c r="AA22" s="64"/>
    </row>
    <row r="23" spans="1:27" x14ac:dyDescent="0.3">
      <c r="A23" t="s">
        <v>35</v>
      </c>
      <c r="B23" s="117"/>
      <c r="C23" s="118">
        <f>C21-$C22</f>
        <v>-7.643012827802817E-3</v>
      </c>
      <c r="D23" s="63"/>
      <c r="E23" s="118">
        <f>E21-$C22</f>
        <v>-5.9740592256951608E-4</v>
      </c>
      <c r="F23" s="118"/>
      <c r="G23" s="118">
        <f>G21-$C22</f>
        <v>-8.4123074926235192E-3</v>
      </c>
      <c r="H23" s="63"/>
      <c r="I23" s="118">
        <f>I21-$C22</f>
        <v>1.4363091575694265E-3</v>
      </c>
      <c r="J23" s="117"/>
      <c r="K23" s="118">
        <f>K21-$C22</f>
        <v>2.4113738627329212E-3</v>
      </c>
      <c r="L23" s="63"/>
      <c r="M23" s="118">
        <f>M21-$C22</f>
        <v>7.3426935473241833E-3</v>
      </c>
      <c r="N23" s="118"/>
      <c r="O23" s="118">
        <f>O21-$C22</f>
        <v>8.2659339252094816E-3</v>
      </c>
      <c r="P23" s="63"/>
      <c r="Q23" s="118">
        <f>Q21-$C22</f>
        <v>-2.4966545100041371E-3</v>
      </c>
      <c r="R23" s="117"/>
      <c r="S23" s="118">
        <f>S21-$C22</f>
        <v>-2.4458760838423493E-3</v>
      </c>
      <c r="T23" s="117"/>
      <c r="U23" s="118">
        <f>U21-$C22</f>
        <v>3.1916367106916352E-2</v>
      </c>
      <c r="V23" s="63"/>
      <c r="W23" s="118">
        <f>W21-$C22</f>
        <v>9.0541769881663514E-4</v>
      </c>
      <c r="X23" s="118"/>
      <c r="Y23" s="118">
        <f>Y21-$C22</f>
        <v>-2.0275288212744561E-2</v>
      </c>
      <c r="Z23" s="63"/>
      <c r="AA23" s="128">
        <f>AA21-$C22</f>
        <v>1.2335286451895938E-3</v>
      </c>
    </row>
    <row r="24" spans="1:27" x14ac:dyDescent="0.3">
      <c r="A24" s="7" t="s">
        <v>64</v>
      </c>
      <c r="B24" s="117"/>
      <c r="C24" s="74">
        <f>MOD(C9-C17,360)</f>
        <v>301.38019886254392</v>
      </c>
      <c r="D24" s="63"/>
      <c r="E24" s="74">
        <f>MOD(E9-E17,360)</f>
        <v>302.79241908552649</v>
      </c>
      <c r="F24" s="118"/>
      <c r="G24" s="74">
        <f>MOD(G9-G17,360)</f>
        <v>190.49023477867618</v>
      </c>
      <c r="H24" s="63"/>
      <c r="I24" s="74">
        <f>MOD(I9-I17,360)</f>
        <v>189.23944450109093</v>
      </c>
      <c r="J24" s="117"/>
      <c r="K24" s="74">
        <f>MOD(K9-K17,360)</f>
        <v>190.36350117043361</v>
      </c>
      <c r="L24" s="63"/>
      <c r="M24" s="74">
        <f>MOD(M9-M17,360)</f>
        <v>190.05355080155709</v>
      </c>
      <c r="N24" s="118"/>
      <c r="O24" s="74">
        <f>MOD(O9-O17,360)</f>
        <v>281.64594569666542</v>
      </c>
      <c r="P24" s="63"/>
      <c r="Q24" s="74">
        <f>MOD(Q9-Q17,360)</f>
        <v>281.04589849276113</v>
      </c>
      <c r="R24" s="117"/>
      <c r="S24" s="74">
        <f>MOD(S9-S17,360)</f>
        <v>282.15894913659696</v>
      </c>
      <c r="T24" s="117"/>
      <c r="U24" s="74">
        <f>MOD(U9-U17,360)</f>
        <v>201.48119229084847</v>
      </c>
      <c r="V24" s="63"/>
      <c r="W24" s="74">
        <f>MOD(W9-W17,360)</f>
        <v>193.87963688541922</v>
      </c>
      <c r="X24" s="118"/>
      <c r="Y24" s="74">
        <f>MOD(Y9-Y17,360)</f>
        <v>295.87989764584404</v>
      </c>
      <c r="Z24" s="63"/>
      <c r="AA24" s="138">
        <f>MOD(AA9-AA17,360)</f>
        <v>286.79670100944236</v>
      </c>
    </row>
    <row r="25" spans="1:27" x14ac:dyDescent="0.3">
      <c r="A25" t="s">
        <v>36</v>
      </c>
      <c r="B25" s="117">
        <f>STDEV(B24:E24)</f>
        <v>0.99859049619975271</v>
      </c>
      <c r="C25" s="118">
        <f>AVERAGE(B24:E24)</f>
        <v>302.08630897403521</v>
      </c>
      <c r="D25" s="63"/>
      <c r="E25" s="63"/>
      <c r="F25" s="118">
        <f>STDEV(F24:K24)</f>
        <v>0.68848155650118081</v>
      </c>
      <c r="G25" s="118">
        <f>AVERAGE(F24:K24)</f>
        <v>190.03106015006688</v>
      </c>
      <c r="H25" s="63"/>
      <c r="I25" s="63"/>
      <c r="J25" s="117">
        <f>STDEV(J24:M24)</f>
        <v>0.21916800766385486</v>
      </c>
      <c r="K25" s="118">
        <f>AVERAGE(J24:M24)</f>
        <v>190.20852598599535</v>
      </c>
      <c r="L25" s="63"/>
      <c r="M25" s="63"/>
      <c r="N25" s="118">
        <f>STDEV(N24:S24)</f>
        <v>0.55709228918829345</v>
      </c>
      <c r="O25" s="118">
        <f>AVERAGE(N24:S24)</f>
        <v>281.61693110867446</v>
      </c>
      <c r="P25" s="63"/>
      <c r="Q25" s="63"/>
      <c r="R25" s="117"/>
      <c r="S25" s="118"/>
      <c r="T25" s="117">
        <f>STDEV(T24:W24)</f>
        <v>5.3751113747442796</v>
      </c>
      <c r="U25" s="118">
        <f>AVERAGE(T24:W24)</f>
        <v>197.68041458813383</v>
      </c>
      <c r="V25" s="63"/>
      <c r="W25" s="63"/>
      <c r="X25" s="118">
        <f>STDEV(X24:AA24)</f>
        <v>6.4227899364504673</v>
      </c>
      <c r="Y25" s="118">
        <f>AVERAGE(X24:AA24)</f>
        <v>291.3382993276432</v>
      </c>
      <c r="Z25" s="63"/>
      <c r="AA25" s="64"/>
    </row>
    <row r="26" spans="1:27" x14ac:dyDescent="0.3">
      <c r="A26" t="s">
        <v>35</v>
      </c>
      <c r="B26" s="117"/>
      <c r="C26" s="118">
        <f>C24-$C25</f>
        <v>-0.70611011149128444</v>
      </c>
      <c r="D26" s="63"/>
      <c r="E26" s="63">
        <f>E24-$C25</f>
        <v>0.70611011149128444</v>
      </c>
      <c r="F26" s="118"/>
      <c r="G26" s="118">
        <f>G24-$C25</f>
        <v>-111.59607419535902</v>
      </c>
      <c r="H26" s="63"/>
      <c r="I26" s="118">
        <f>I24-$C25</f>
        <v>-112.84686447294428</v>
      </c>
      <c r="J26" s="117"/>
      <c r="K26" s="118">
        <f>K24-$C25</f>
        <v>-111.7228078036016</v>
      </c>
      <c r="L26" s="63"/>
      <c r="M26" s="63">
        <f>M24-$C25</f>
        <v>-112.03275817247811</v>
      </c>
      <c r="N26" s="118"/>
      <c r="O26" s="118">
        <f>O24-$C25</f>
        <v>-20.440363277369784</v>
      </c>
      <c r="P26" s="63"/>
      <c r="Q26" s="118">
        <f>Q24-$C25</f>
        <v>-21.04041048127408</v>
      </c>
      <c r="R26" s="117"/>
      <c r="S26" s="118">
        <f>S24-$C25</f>
        <v>-19.927359837438246</v>
      </c>
      <c r="T26" s="117"/>
      <c r="U26" s="118">
        <f>U24-$C25</f>
        <v>-100.60511668318674</v>
      </c>
      <c r="V26" s="63"/>
      <c r="W26" s="63">
        <f>W24-$C25</f>
        <v>-108.20667208861599</v>
      </c>
      <c r="X26" s="118"/>
      <c r="Y26" s="118">
        <f>Y24-$C25</f>
        <v>-6.2064113281911659</v>
      </c>
      <c r="Z26" s="63"/>
      <c r="AA26" s="128">
        <f>AA24-$C25</f>
        <v>-15.289607964592847</v>
      </c>
    </row>
    <row r="27" spans="1:27" x14ac:dyDescent="0.3">
      <c r="A27" t="s">
        <v>67</v>
      </c>
      <c r="B27" s="117"/>
      <c r="C27" s="118">
        <f>SQRT(C16)</f>
        <v>2.109028212234251</v>
      </c>
      <c r="D27" s="63"/>
      <c r="E27" s="63">
        <f>SQRT(E16)</f>
        <v>8.4072951461506058</v>
      </c>
      <c r="F27" s="118"/>
      <c r="G27" s="118">
        <f>SQRT(G16)</f>
        <v>2.109028212234251</v>
      </c>
      <c r="H27" s="63"/>
      <c r="I27" s="63">
        <f>SQRT(I16)</f>
        <v>8.4072951461506058</v>
      </c>
      <c r="J27" s="117"/>
      <c r="K27" s="118">
        <f>SQRT(K16)</f>
        <v>1.2751470503436064</v>
      </c>
      <c r="L27" s="63"/>
      <c r="M27" s="63">
        <f>SQRT(M16)</f>
        <v>7.994758149307172</v>
      </c>
      <c r="N27" s="118"/>
      <c r="O27" s="118">
        <f>SQRT(O16)</f>
        <v>1.2751470503436064</v>
      </c>
      <c r="P27" s="63"/>
      <c r="Q27" s="63">
        <f>SQRT(Q16)</f>
        <v>7.994758149307172</v>
      </c>
      <c r="R27" s="117"/>
      <c r="S27" s="118">
        <f>SQRT(S16)</f>
        <v>2.5495097567963922</v>
      </c>
      <c r="T27" s="117"/>
      <c r="U27" s="118">
        <f>SQRT(U16)</f>
        <v>1.3982131454109563</v>
      </c>
      <c r="V27" s="63"/>
      <c r="W27" s="63">
        <f>SQRT(W16)</f>
        <v>8.5948909010614614</v>
      </c>
      <c r="X27" s="118"/>
      <c r="Y27" s="118">
        <f>SQRT(Y16)</f>
        <v>1.3982131454109563</v>
      </c>
      <c r="Z27" s="63"/>
      <c r="AA27" s="64">
        <f>SQRT(AA16)</f>
        <v>8.5948909010614614</v>
      </c>
    </row>
    <row r="28" spans="1:27" x14ac:dyDescent="0.3">
      <c r="A28" s="10" t="s">
        <v>68</v>
      </c>
      <c r="B28" s="117"/>
      <c r="C28" s="118">
        <f>C27*C21</f>
        <v>0.23279933291745247</v>
      </c>
      <c r="D28" s="63"/>
      <c r="E28" s="118">
        <f>E27*E21</f>
        <v>0.98725086480093338</v>
      </c>
      <c r="F28" s="118"/>
      <c r="G28" s="118">
        <f>G27*G21</f>
        <v>0.2311768687658243</v>
      </c>
      <c r="H28" s="63"/>
      <c r="I28" s="118">
        <f>I27*I21</f>
        <v>1.0043489077228387</v>
      </c>
      <c r="J28" s="117"/>
      <c r="K28" s="118">
        <f>K27*K21</f>
        <v>0.15357445439877479</v>
      </c>
      <c r="L28" s="63"/>
      <c r="M28" s="118">
        <f>M27*M21</f>
        <v>1.0022866938385024</v>
      </c>
      <c r="N28" s="118"/>
      <c r="O28" s="118">
        <f>O27*O21</f>
        <v>0.16103987939350126</v>
      </c>
      <c r="P28" s="63"/>
      <c r="Q28" s="118">
        <f>Q27*Q21</f>
        <v>0.92362348577330722</v>
      </c>
      <c r="R28" s="117"/>
      <c r="S28" s="118">
        <f>S27*S21</f>
        <v>0.29467083890742746</v>
      </c>
      <c r="T28" s="117"/>
      <c r="U28" s="118">
        <f>U27*U21</f>
        <v>0.20965039351262854</v>
      </c>
      <c r="V28" s="63"/>
      <c r="W28" s="118">
        <f>W27*W21</f>
        <v>1.0221964420960938</v>
      </c>
      <c r="X28" s="118"/>
      <c r="Y28" s="118">
        <f>Y27*Y21</f>
        <v>0.13667533496392098</v>
      </c>
      <c r="Z28" s="63"/>
      <c r="AA28" s="128">
        <f>AA27*AA21</f>
        <v>1.0250165198836134</v>
      </c>
    </row>
    <row r="29" spans="1:27" x14ac:dyDescent="0.3">
      <c r="A29" s="7" t="s">
        <v>69</v>
      </c>
      <c r="B29" s="117"/>
      <c r="C29" s="139">
        <f>SUM(C28:S28,W28,AA28)/SUM(C27:S27,W27,AA27)</f>
        <v>0.11866087993905175</v>
      </c>
      <c r="D29" s="63"/>
      <c r="E29" s="63"/>
      <c r="F29" s="118"/>
      <c r="G29" s="139"/>
      <c r="H29" s="63"/>
      <c r="I29" s="63"/>
      <c r="J29" s="117"/>
      <c r="K29" s="139"/>
      <c r="L29" s="63"/>
      <c r="M29" s="63"/>
      <c r="N29" s="118"/>
      <c r="O29" s="139"/>
      <c r="P29" s="63"/>
      <c r="Q29" s="63"/>
      <c r="R29" s="117"/>
      <c r="S29" s="139"/>
      <c r="T29" s="117"/>
      <c r="U29" s="139"/>
      <c r="V29" s="63"/>
      <c r="W29" s="63"/>
      <c r="X29" s="118"/>
      <c r="Y29" s="139"/>
      <c r="Z29" s="63"/>
      <c r="AA29" s="64"/>
    </row>
    <row r="30" spans="1:27" x14ac:dyDescent="0.3">
      <c r="A30" t="s">
        <v>72</v>
      </c>
      <c r="B30" s="117"/>
      <c r="C30" s="139">
        <f>C21-$C$29</f>
        <v>-8.2786045541100028E-3</v>
      </c>
      <c r="D30" s="63"/>
      <c r="E30" s="75">
        <f>E21-$C$29</f>
        <v>-1.2329976488767019E-3</v>
      </c>
      <c r="F30" s="118"/>
      <c r="G30" s="139">
        <f>G21-$C29</f>
        <v>-9.047899218930705E-3</v>
      </c>
      <c r="H30" s="63"/>
      <c r="I30" s="139">
        <f>I21-$C29</f>
        <v>8.007174312622406E-4</v>
      </c>
      <c r="J30" s="117"/>
      <c r="K30" s="139">
        <f>K21-$C$29</f>
        <v>1.7757821364257353E-3</v>
      </c>
      <c r="L30" s="63"/>
      <c r="M30" s="75">
        <f>M21-$C$29</f>
        <v>6.7071018210169975E-3</v>
      </c>
      <c r="N30" s="118"/>
      <c r="O30" s="139">
        <f>O21-$C29</f>
        <v>7.6303421989022957E-3</v>
      </c>
      <c r="P30" s="63"/>
      <c r="Q30" s="139">
        <f>Q21-$C29</f>
        <v>-3.1322462363113229E-3</v>
      </c>
      <c r="R30" s="117"/>
      <c r="S30" s="139">
        <f>S21-$C29</f>
        <v>-3.0814678101495352E-3</v>
      </c>
      <c r="T30" s="117"/>
      <c r="U30" s="139">
        <f>U21-$C$29</f>
        <v>3.1280775380609166E-2</v>
      </c>
      <c r="V30" s="63"/>
      <c r="W30" s="75">
        <f>W21-$C$29</f>
        <v>2.6982597250944929E-4</v>
      </c>
      <c r="X30" s="118"/>
      <c r="Y30" s="139">
        <f>Y21-$C29</f>
        <v>-2.0910879939051746E-2</v>
      </c>
      <c r="Z30" s="63"/>
      <c r="AA30" s="140">
        <f>AA21-$C29</f>
        <v>5.9793691888240796E-4</v>
      </c>
    </row>
    <row r="31" spans="1:27" x14ac:dyDescent="0.3">
      <c r="A31" s="10" t="s">
        <v>119</v>
      </c>
      <c r="B31" s="117"/>
      <c r="C31" s="118">
        <f>C27*C24</f>
        <v>635.619342009874</v>
      </c>
      <c r="D31" s="63"/>
      <c r="E31" s="63">
        <f>E27*E24</f>
        <v>2545.6652352689471</v>
      </c>
      <c r="F31" s="118"/>
      <c r="G31" s="118">
        <f>G27*G24</f>
        <v>401.74927930335417</v>
      </c>
      <c r="H31" s="63"/>
      <c r="I31" s="63">
        <f>I27*I24</f>
        <v>1590.9918632142587</v>
      </c>
      <c r="J31" s="117"/>
      <c r="K31" s="118">
        <f>K27*K24</f>
        <v>242.74145701056008</v>
      </c>
      <c r="L31" s="63"/>
      <c r="M31" s="63">
        <f>M27*M24</f>
        <v>1519.4321740755131</v>
      </c>
      <c r="N31" s="118"/>
      <c r="O31" s="118">
        <f>O27*O24</f>
        <v>359.13999689633846</v>
      </c>
      <c r="P31" s="63"/>
      <c r="Q31" s="63">
        <f>Q27*Q24</f>
        <v>2246.8939873043582</v>
      </c>
      <c r="R31" s="117"/>
      <c r="S31" s="118">
        <f>S27*S24</f>
        <v>719.3669937911709</v>
      </c>
      <c r="T31" s="117"/>
      <c r="U31" s="118">
        <f>U27*U24</f>
        <v>281.71365161413695</v>
      </c>
      <c r="V31" s="63"/>
      <c r="W31" s="63">
        <f>W27*W24</f>
        <v>1666.3743269675897</v>
      </c>
      <c r="X31" s="118"/>
      <c r="Y31" s="118">
        <f>Y27*Y24</f>
        <v>413.70316235126739</v>
      </c>
      <c r="Z31" s="63"/>
      <c r="AA31" s="64">
        <f>AA27*AA24</f>
        <v>2464.9863559605005</v>
      </c>
    </row>
    <row r="32" spans="1:27" x14ac:dyDescent="0.3">
      <c r="A32" t="s">
        <v>120</v>
      </c>
      <c r="B32" s="117"/>
      <c r="C32" s="139">
        <f>MOD(SUM(B31:E31)/SUM(B27:E27),360)</f>
        <v>302.50920106429828</v>
      </c>
      <c r="D32" s="63"/>
      <c r="E32" s="63"/>
      <c r="F32" s="118"/>
      <c r="G32" s="139">
        <f>SUM(F31:M31)/SUM(F27:M27)</f>
        <v>189.77415340119128</v>
      </c>
      <c r="H32" s="63"/>
      <c r="I32" s="63"/>
      <c r="J32" s="117"/>
      <c r="K32" s="139"/>
      <c r="L32" s="63"/>
      <c r="M32" s="63"/>
      <c r="N32" s="118"/>
      <c r="O32" s="139">
        <f>SUM(N31:S31)/SUM(N27:S27)</f>
        <v>281.35072592387075</v>
      </c>
      <c r="P32" s="63"/>
      <c r="Q32" s="63"/>
      <c r="R32" s="117"/>
      <c r="S32" s="139"/>
      <c r="T32" s="117"/>
      <c r="U32" s="139">
        <f>MOD(SUM(T31:W31)/SUM(T27:W27),360)</f>
        <v>194.94322980349685</v>
      </c>
      <c r="V32" s="63"/>
      <c r="W32" s="63"/>
      <c r="X32" s="118"/>
      <c r="Y32" s="139">
        <f>SUM(X31:AA31)/SUM(X27:AA27)</f>
        <v>288.06760191073465</v>
      </c>
      <c r="Z32" s="63"/>
      <c r="AA32" s="64"/>
    </row>
    <row r="33" spans="1:27" x14ac:dyDescent="0.3">
      <c r="A33" t="s">
        <v>121</v>
      </c>
      <c r="B33" s="117"/>
      <c r="C33" s="139">
        <f>C24-$C$32</f>
        <v>-1.1290022017543606</v>
      </c>
      <c r="D33" s="63"/>
      <c r="E33" s="75">
        <f>E24-$C$32</f>
        <v>0.28321802122820827</v>
      </c>
      <c r="F33" s="118"/>
      <c r="G33" s="139">
        <f>G24-$G32</f>
        <v>0.71608137748489753</v>
      </c>
      <c r="H33" s="63"/>
      <c r="I33" s="139">
        <f>I24-$G32</f>
        <v>-0.53470890010035532</v>
      </c>
      <c r="J33" s="117"/>
      <c r="K33" s="139">
        <f>K24-$C$32</f>
        <v>-112.14569989386467</v>
      </c>
      <c r="L33" s="63"/>
      <c r="M33" s="75">
        <f>M24-$C$32</f>
        <v>-112.45565026274119</v>
      </c>
      <c r="N33" s="118"/>
      <c r="O33" s="139">
        <f>O24-$G32</f>
        <v>91.871792295474137</v>
      </c>
      <c r="P33" s="63"/>
      <c r="Q33" s="139">
        <f>Q24-$G32</f>
        <v>91.271745091569841</v>
      </c>
      <c r="R33" s="117"/>
      <c r="S33" s="139">
        <f>S24-$C32</f>
        <v>-20.350251927701322</v>
      </c>
      <c r="T33" s="117"/>
      <c r="U33" s="139">
        <f>U24-$C$32</f>
        <v>-101.02800877344981</v>
      </c>
      <c r="V33" s="63"/>
      <c r="W33" s="75">
        <f>W24-$C$32</f>
        <v>-108.62956417887906</v>
      </c>
      <c r="X33" s="118"/>
      <c r="Y33" s="139">
        <f>Y24-$G32</f>
        <v>106.10574424465275</v>
      </c>
      <c r="Z33" s="63"/>
      <c r="AA33" s="140">
        <f>AA24-$G32</f>
        <v>97.022547608251074</v>
      </c>
    </row>
    <row r="34" spans="1:27" s="14" customFormat="1" ht="75.75" customHeight="1" x14ac:dyDescent="0.3">
      <c r="A34" s="15" t="s">
        <v>40</v>
      </c>
      <c r="B34" s="383"/>
      <c r="C34" s="384"/>
      <c r="D34" s="65"/>
      <c r="E34" s="65"/>
      <c r="F34" s="384"/>
      <c r="G34" s="384"/>
      <c r="H34" s="65"/>
      <c r="I34" s="65"/>
      <c r="J34" s="383"/>
      <c r="K34" s="384"/>
      <c r="L34" s="65"/>
      <c r="M34" s="65"/>
      <c r="N34" s="384"/>
      <c r="O34" s="384"/>
      <c r="P34" s="65"/>
      <c r="Q34" s="65"/>
      <c r="R34" s="163"/>
      <c r="S34" s="164"/>
      <c r="T34" s="383"/>
      <c r="U34" s="384"/>
      <c r="V34" s="65"/>
      <c r="W34" s="65"/>
      <c r="X34" s="384"/>
      <c r="Y34" s="384"/>
      <c r="Z34" s="65"/>
      <c r="AA34" s="66"/>
    </row>
    <row r="35" spans="1:27" s="19" customFormat="1" x14ac:dyDescent="0.3">
      <c r="A35" s="20" t="s">
        <v>54</v>
      </c>
      <c r="B35" s="119"/>
      <c r="C35" s="120"/>
      <c r="D35" s="67"/>
      <c r="E35" s="67"/>
      <c r="F35" s="120"/>
      <c r="G35" s="120"/>
      <c r="H35" s="67"/>
      <c r="I35" s="67"/>
      <c r="J35" s="119"/>
      <c r="K35" s="120"/>
      <c r="L35" s="67"/>
      <c r="M35" s="67"/>
      <c r="N35" s="120"/>
      <c r="O35" s="120"/>
      <c r="P35" s="67"/>
      <c r="Q35" s="67"/>
      <c r="R35" s="119"/>
      <c r="S35" s="120"/>
      <c r="T35" s="119"/>
      <c r="U35" s="120"/>
      <c r="V35" s="67"/>
      <c r="W35" s="67"/>
      <c r="X35" s="120"/>
      <c r="Y35" s="120"/>
      <c r="Z35" s="67"/>
      <c r="AA35" s="68"/>
    </row>
    <row r="36" spans="1:27" x14ac:dyDescent="0.3">
      <c r="A36" s="7" t="s">
        <v>42</v>
      </c>
      <c r="B36" s="117"/>
      <c r="C36" s="141">
        <f>C8*$C29</f>
        <v>4.781597336422589</v>
      </c>
      <c r="D36" s="63"/>
      <c r="E36" s="63"/>
      <c r="F36" s="118"/>
      <c r="G36" s="141">
        <f>G8*$C29</f>
        <v>4.8151559286264014</v>
      </c>
      <c r="H36" s="63"/>
      <c r="I36" s="63"/>
      <c r="J36" s="117"/>
      <c r="K36" s="141">
        <f>K8*$C29</f>
        <v>1.6020253920685819</v>
      </c>
      <c r="L36" s="63"/>
      <c r="M36" s="63"/>
      <c r="N36" s="118"/>
      <c r="O36" s="141">
        <f>O8*$C29</f>
        <v>1.5277593130751206</v>
      </c>
      <c r="P36" s="63"/>
      <c r="Q36" s="63"/>
      <c r="R36" s="117"/>
      <c r="S36" s="166">
        <f>S8*$C29</f>
        <v>6.6732967870059214</v>
      </c>
      <c r="T36" s="117"/>
      <c r="U36" s="141">
        <f>U8*$C29</f>
        <v>1.5471485878042579</v>
      </c>
      <c r="V36" s="63"/>
      <c r="W36" s="63"/>
      <c r="X36" s="118"/>
      <c r="Y36" s="141">
        <f>Y8*$C29</f>
        <v>2.3732175987810349</v>
      </c>
      <c r="Z36" s="63"/>
      <c r="AA36" s="64"/>
    </row>
    <row r="37" spans="1:27" x14ac:dyDescent="0.3">
      <c r="A37" t="s">
        <v>50</v>
      </c>
      <c r="B37" s="117"/>
      <c r="C37" s="141">
        <f>C36-C16</f>
        <v>0.3335973364225886</v>
      </c>
      <c r="D37" s="63"/>
      <c r="E37" s="63"/>
      <c r="F37" s="118"/>
      <c r="G37" s="141">
        <f>G36-G16</f>
        <v>0.36715592862640101</v>
      </c>
      <c r="H37" s="63"/>
      <c r="I37" s="63"/>
      <c r="J37" s="117"/>
      <c r="K37" s="141">
        <f>K36-K16</f>
        <v>-2.3974607931418035E-2</v>
      </c>
      <c r="L37" s="63"/>
      <c r="M37" s="63"/>
      <c r="N37" s="118"/>
      <c r="O37" s="141">
        <f>O36-O16</f>
        <v>-9.8240686924879306E-2</v>
      </c>
      <c r="P37" s="63"/>
      <c r="Q37" s="63"/>
      <c r="R37" s="117"/>
      <c r="S37" s="141">
        <f>S36-S16</f>
        <v>0.17329678700592144</v>
      </c>
      <c r="T37" s="117"/>
      <c r="U37" s="141">
        <f>U36-U16</f>
        <v>-0.40785141219574217</v>
      </c>
      <c r="V37" s="63"/>
      <c r="W37" s="63"/>
      <c r="X37" s="118"/>
      <c r="Y37" s="141">
        <f>Y36-Y16</f>
        <v>0.41821759878103482</v>
      </c>
      <c r="Z37" s="63"/>
      <c r="AA37" s="64"/>
    </row>
    <row r="38" spans="1:27" x14ac:dyDescent="0.3">
      <c r="A38" t="s">
        <v>51</v>
      </c>
      <c r="B38" s="117"/>
      <c r="C38" s="142">
        <f>C37/C16</f>
        <v>7.499940117414311E-2</v>
      </c>
      <c r="D38" s="63"/>
      <c r="E38" s="63"/>
      <c r="F38" s="118"/>
      <c r="G38" s="142">
        <f>G37/G16</f>
        <v>8.2544048701978637E-2</v>
      </c>
      <c r="H38" s="63"/>
      <c r="I38" s="63"/>
      <c r="J38" s="117"/>
      <c r="K38" s="142">
        <f>K37/K16</f>
        <v>-1.4744531323135324E-2</v>
      </c>
      <c r="L38" s="63"/>
      <c r="M38" s="63"/>
      <c r="N38" s="118"/>
      <c r="O38" s="142">
        <f>O37/O16</f>
        <v>-6.0418626645067225E-2</v>
      </c>
      <c r="P38" s="63"/>
      <c r="Q38" s="63"/>
      <c r="R38" s="117"/>
      <c r="S38" s="142">
        <f>S37/S16</f>
        <v>2.6661044154757143E-2</v>
      </c>
      <c r="T38" s="117"/>
      <c r="U38" s="142">
        <f>U37/U16</f>
        <v>-0.20861964818196529</v>
      </c>
      <c r="V38" s="63"/>
      <c r="W38" s="63"/>
      <c r="X38" s="118"/>
      <c r="Y38" s="142">
        <f>Y37/Y16</f>
        <v>0.21392204541229401</v>
      </c>
      <c r="Z38" s="63"/>
      <c r="AA38" s="64"/>
    </row>
    <row r="39" spans="1:27" x14ac:dyDescent="0.3">
      <c r="A39" s="29" t="s">
        <v>53</v>
      </c>
      <c r="B39" s="117">
        <f>AVERAGE(B37:E37)</f>
        <v>0.3335973364225886</v>
      </c>
      <c r="C39" s="142">
        <f>AVERAGE(C38:E38)</f>
        <v>7.499940117414311E-2</v>
      </c>
      <c r="D39" s="63"/>
      <c r="E39" s="63"/>
      <c r="F39" s="118"/>
      <c r="G39" s="142">
        <f>AVERAGE(G38:K38)</f>
        <v>3.3899758689421654E-2</v>
      </c>
      <c r="H39" s="63"/>
      <c r="I39" s="63"/>
      <c r="J39" s="117">
        <f>AVERAGE(J37:M37)</f>
        <v>-2.3974607931418035E-2</v>
      </c>
      <c r="K39" s="142">
        <f>AVERAGE(K38:M38)</f>
        <v>-1.4744531323135324E-2</v>
      </c>
      <c r="L39" s="63"/>
      <c r="M39" s="63"/>
      <c r="N39" s="118"/>
      <c r="O39" s="142">
        <f>AVERAGE(O38:S38)</f>
        <v>-1.6878791245155039E-2</v>
      </c>
      <c r="P39" s="63"/>
      <c r="Q39" s="63"/>
      <c r="R39" s="117"/>
      <c r="S39" s="142"/>
      <c r="T39" s="117">
        <f>AVERAGE(T37:W37)</f>
        <v>-0.40785141219574217</v>
      </c>
      <c r="U39" s="142">
        <f>AVERAGE(U38:W38)</f>
        <v>-0.20861964818196529</v>
      </c>
      <c r="V39" s="63"/>
      <c r="W39" s="63"/>
      <c r="X39" s="118"/>
      <c r="Y39" s="142">
        <f>AVERAGE(Y38:AA38)</f>
        <v>0.21392204541229401</v>
      </c>
      <c r="Z39" s="63"/>
      <c r="AA39" s="64"/>
    </row>
    <row r="40" spans="1:27" x14ac:dyDescent="0.3">
      <c r="A40" s="29" t="s">
        <v>52</v>
      </c>
      <c r="B40" s="117">
        <f>STDEV(B37:G37)</f>
        <v>2.3729508114389761E-2</v>
      </c>
      <c r="C40" s="142">
        <f>STDEV(C38:G38)</f>
        <v>5.3348714285948225E-3</v>
      </c>
      <c r="D40" s="63"/>
      <c r="E40" s="63"/>
      <c r="F40" s="118"/>
      <c r="G40" s="142">
        <f>STDEV(G38:K38)</f>
        <v>6.8793414667768185E-2</v>
      </c>
      <c r="H40" s="63"/>
      <c r="I40" s="63"/>
      <c r="J40" s="117">
        <f>STDEV(J37:O37)</f>
        <v>5.2514048068412283E-2</v>
      </c>
      <c r="K40" s="142">
        <f>STDEV(K38:O38)</f>
        <v>3.2296462526698801E-2</v>
      </c>
      <c r="L40" s="63"/>
      <c r="M40" s="63"/>
      <c r="N40" s="118"/>
      <c r="O40" s="142">
        <f>STDEV(O38:S38)</f>
        <v>6.1574625726048E-2</v>
      </c>
      <c r="P40" s="63"/>
      <c r="Q40" s="63"/>
      <c r="R40" s="117"/>
      <c r="S40" s="142"/>
      <c r="T40" s="117">
        <f>STDEV(T37:Y37)</f>
        <v>0.58411899938974354</v>
      </c>
      <c r="U40" s="142">
        <f>STDEV(U38:Y38)</f>
        <v>0.29878209687454915</v>
      </c>
      <c r="V40" s="63"/>
      <c r="W40" s="63"/>
      <c r="X40" s="118"/>
      <c r="Y40" s="142" t="e">
        <f>STDEV(Y38:AA38)</f>
        <v>#DIV/0!</v>
      </c>
      <c r="Z40" s="63"/>
      <c r="AA40" s="64"/>
    </row>
    <row r="41" spans="1:27" x14ac:dyDescent="0.3">
      <c r="B41" s="117"/>
      <c r="C41" s="142"/>
      <c r="D41" s="63"/>
      <c r="E41" s="63"/>
      <c r="F41" s="118"/>
      <c r="G41" s="142"/>
      <c r="H41" s="63"/>
      <c r="I41" s="63"/>
      <c r="J41" s="117"/>
      <c r="K41" s="142"/>
      <c r="L41" s="63"/>
      <c r="M41" s="63"/>
      <c r="N41" s="118"/>
      <c r="O41" s="142"/>
      <c r="P41" s="63"/>
      <c r="Q41" s="63"/>
      <c r="R41" s="117"/>
      <c r="S41" s="142"/>
      <c r="T41" s="117"/>
      <c r="U41" s="142"/>
      <c r="V41" s="63"/>
      <c r="W41" s="63"/>
      <c r="X41" s="118"/>
      <c r="Y41" s="142"/>
      <c r="Z41" s="63"/>
      <c r="AA41" s="64"/>
    </row>
    <row r="42" spans="1:27" x14ac:dyDescent="0.3">
      <c r="A42" s="7" t="s">
        <v>43</v>
      </c>
      <c r="B42" s="117"/>
      <c r="C42" s="141">
        <f>MOD(C9-$C32,360)</f>
        <v>124.53099779824561</v>
      </c>
      <c r="D42" s="63"/>
      <c r="E42" s="141"/>
      <c r="F42" s="118"/>
      <c r="G42" s="141">
        <f>MOD(G9-$G32,360)</f>
        <v>126.37608137748489</v>
      </c>
      <c r="H42" s="63"/>
      <c r="I42" s="141"/>
      <c r="J42" s="117"/>
      <c r="K42" s="141">
        <f>MOD(K9-$G32,360)</f>
        <v>213.89934776924233</v>
      </c>
      <c r="L42" s="63"/>
      <c r="M42" s="141"/>
      <c r="N42" s="118"/>
      <c r="O42" s="141">
        <f>MOD(O9-$O32,360)</f>
        <v>213.60521977279464</v>
      </c>
      <c r="P42" s="63"/>
      <c r="Q42" s="141"/>
      <c r="R42" s="117"/>
      <c r="S42" s="167">
        <f>MOD(S9-$O32,360)</f>
        <v>110.8082232127262</v>
      </c>
      <c r="T42" s="117"/>
      <c r="U42" s="141">
        <f>MOD(U9-$W24,360)</f>
        <v>108.59155540542926</v>
      </c>
      <c r="V42" s="63"/>
      <c r="W42" s="141"/>
      <c r="X42" s="118"/>
      <c r="Y42" s="141">
        <f>MOD(Y9-$AA24,360)</f>
        <v>110.07319663640169</v>
      </c>
      <c r="Z42" s="63"/>
      <c r="AA42" s="143"/>
    </row>
    <row r="43" spans="1:27" x14ac:dyDescent="0.3">
      <c r="A43" t="s">
        <v>55</v>
      </c>
      <c r="B43" s="117"/>
      <c r="C43" s="141">
        <f>C42-C17</f>
        <v>-1.129002201754389</v>
      </c>
      <c r="D43" s="63"/>
      <c r="E43" s="141"/>
      <c r="F43" s="118"/>
      <c r="G43" s="141">
        <f>G42-G17</f>
        <v>0.71608137748489753</v>
      </c>
      <c r="H43" s="63"/>
      <c r="I43" s="141"/>
      <c r="J43" s="117"/>
      <c r="K43" s="141">
        <f>K42-K17</f>
        <v>0.58934776924232324</v>
      </c>
      <c r="L43" s="63"/>
      <c r="M43" s="141"/>
      <c r="N43" s="118"/>
      <c r="O43" s="141">
        <f>O42-O17</f>
        <v>0.2952197727946384</v>
      </c>
      <c r="P43" s="63"/>
      <c r="Q43" s="141"/>
      <c r="R43" s="117"/>
      <c r="S43" s="141">
        <f>S42-S17</f>
        <v>0.80822321272620457</v>
      </c>
      <c r="T43" s="117"/>
      <c r="U43" s="141">
        <f>U42-U17</f>
        <v>7.6015554054292664</v>
      </c>
      <c r="V43" s="63"/>
      <c r="W43" s="141"/>
      <c r="X43" s="118"/>
      <c r="Y43" s="141">
        <f>Y42-Y17</f>
        <v>9.0831966364016949</v>
      </c>
      <c r="Z43" s="63"/>
      <c r="AA43" s="143"/>
    </row>
    <row r="44" spans="1:27" x14ac:dyDescent="0.3">
      <c r="A44" t="s">
        <v>56</v>
      </c>
      <c r="B44" s="117">
        <f>AVERAGE(B43:G43)</f>
        <v>-0.20646041213474575</v>
      </c>
      <c r="C44" s="141"/>
      <c r="D44" s="63"/>
      <c r="E44" s="101"/>
      <c r="F44" s="118"/>
      <c r="G44" s="141"/>
      <c r="H44" s="63"/>
      <c r="I44" s="101"/>
      <c r="J44" s="117">
        <f>AVERAGE(J43:O43)</f>
        <v>0.44228377101848082</v>
      </c>
      <c r="K44" s="141"/>
      <c r="L44" s="63"/>
      <c r="M44" s="101"/>
      <c r="N44" s="118"/>
      <c r="O44" s="141"/>
      <c r="P44" s="63"/>
      <c r="Q44" s="101"/>
      <c r="R44" s="117"/>
      <c r="S44" s="141"/>
      <c r="T44" s="117">
        <f>AVERAGE(T43:Y43)</f>
        <v>8.3423760209154807</v>
      </c>
      <c r="U44" s="141"/>
      <c r="V44" s="63"/>
      <c r="W44" s="101"/>
      <c r="X44" s="118"/>
      <c r="Y44" s="141"/>
      <c r="Z44" s="63"/>
      <c r="AA44" s="102"/>
    </row>
    <row r="45" spans="1:27" x14ac:dyDescent="0.3">
      <c r="A45" t="s">
        <v>57</v>
      </c>
      <c r="B45" s="117">
        <f>STDEV(B43:G43)</f>
        <v>1.304671110736046</v>
      </c>
      <c r="C45" s="141"/>
      <c r="D45" s="63"/>
      <c r="E45" s="63"/>
      <c r="F45" s="118"/>
      <c r="G45" s="141"/>
      <c r="H45" s="63"/>
      <c r="I45" s="63"/>
      <c r="J45" s="117">
        <f>STDEV(J43:O43)</f>
        <v>0.20797990082497078</v>
      </c>
      <c r="K45" s="141"/>
      <c r="L45" s="63"/>
      <c r="M45" s="63"/>
      <c r="N45" s="118"/>
      <c r="O45" s="141"/>
      <c r="P45" s="63"/>
      <c r="Q45" s="63"/>
      <c r="R45" s="117"/>
      <c r="S45" s="141"/>
      <c r="T45" s="117">
        <f>STDEV(T43:Y43)</f>
        <v>1.0476785617061879</v>
      </c>
      <c r="U45" s="141"/>
      <c r="V45" s="63"/>
      <c r="W45" s="63"/>
      <c r="X45" s="118"/>
      <c r="Y45" s="141"/>
      <c r="Z45" s="63"/>
      <c r="AA45" s="64"/>
    </row>
    <row r="46" spans="1:27" x14ac:dyDescent="0.3">
      <c r="B46" s="117"/>
      <c r="C46" s="141"/>
      <c r="D46" s="63"/>
      <c r="E46" s="63"/>
      <c r="F46" s="118"/>
      <c r="G46" s="141"/>
      <c r="H46" s="63"/>
      <c r="I46" s="63"/>
      <c r="J46" s="117"/>
      <c r="K46" s="141"/>
      <c r="L46" s="63"/>
      <c r="M46" s="63"/>
      <c r="N46" s="118"/>
      <c r="O46" s="141"/>
      <c r="P46" s="63"/>
      <c r="Q46" s="63"/>
      <c r="R46" s="117"/>
      <c r="S46" s="141"/>
      <c r="T46" s="117"/>
      <c r="U46" s="141"/>
      <c r="V46" s="63"/>
      <c r="W46" s="63"/>
      <c r="X46" s="118"/>
      <c r="Y46" s="141"/>
      <c r="Z46" s="63"/>
      <c r="AA46" s="64"/>
    </row>
    <row r="47" spans="1:27" x14ac:dyDescent="0.3">
      <c r="A47" t="s">
        <v>44</v>
      </c>
      <c r="B47" s="71">
        <f>-C36*SIN((C42)/180*PI())</f>
        <v>-3.9391737701504987</v>
      </c>
      <c r="C47" s="72">
        <f>C36*COS((C42)/180*PI())</f>
        <v>-2.7104580971197292</v>
      </c>
      <c r="D47" s="63"/>
      <c r="E47" s="63"/>
      <c r="F47" s="72">
        <f>-G36*SIN((G42)/180*PI())</f>
        <v>-3.8768816509061912</v>
      </c>
      <c r="G47" s="72">
        <f>G36*COS((G42)/180*PI())</f>
        <v>-2.855786280843311</v>
      </c>
      <c r="H47" s="63"/>
      <c r="I47" s="63"/>
      <c r="J47" s="71">
        <f>-K36*SIN((K42)/180*PI())</f>
        <v>0.89350669008239803</v>
      </c>
      <c r="K47" s="72">
        <f>K36*COS((K42)/180*PI())</f>
        <v>-1.3297109278375097</v>
      </c>
      <c r="L47" s="63"/>
      <c r="M47" s="63"/>
      <c r="N47" s="72">
        <f>-O36*SIN((O42)/180*PI())</f>
        <v>0.84556501749173851</v>
      </c>
      <c r="O47" s="72">
        <f>O36*COS((O42)/180*PI())</f>
        <v>-1.2724261549818756</v>
      </c>
      <c r="P47" s="63"/>
      <c r="Q47" s="63"/>
      <c r="R47" s="71">
        <f>-S36*SIN((S42)/180*PI())</f>
        <v>-6.2380290091445776</v>
      </c>
      <c r="S47" s="72">
        <f>S36*COS((S42)/180*PI())</f>
        <v>-2.3706294709494928</v>
      </c>
      <c r="T47" s="71">
        <f>-U36*SIN((U42)/180*PI())</f>
        <v>-1.4664112728416556</v>
      </c>
      <c r="U47" s="72">
        <f>U36*COS((U42)/180*PI())</f>
        <v>-0.49326132184433946</v>
      </c>
      <c r="V47" s="63"/>
      <c r="W47" s="63"/>
      <c r="X47" s="72">
        <f>-Y36*SIN((Y42)/180*PI())</f>
        <v>-2.2290562957367688</v>
      </c>
      <c r="Y47" s="72">
        <f>Y36*COS((Y42)/180*PI())</f>
        <v>-0.81453655633144861</v>
      </c>
      <c r="Z47" s="63"/>
      <c r="AA47" s="64"/>
    </row>
    <row r="48" spans="1:27" s="10" customFormat="1" x14ac:dyDescent="0.3">
      <c r="A48" t="s">
        <v>45</v>
      </c>
      <c r="B48" s="71">
        <f>B47-B18</f>
        <v>-0.32521505836684428</v>
      </c>
      <c r="C48" s="72">
        <f>C47-C18</f>
        <v>-0.11738917602969545</v>
      </c>
      <c r="D48" s="63"/>
      <c r="E48" s="63"/>
      <c r="F48" s="72">
        <f>F47-F18</f>
        <v>-0.26292293912253673</v>
      </c>
      <c r="G48" s="72">
        <f>G47-G18</f>
        <v>-0.26271735975327726</v>
      </c>
      <c r="H48" s="63"/>
      <c r="I48" s="63"/>
      <c r="J48" s="71">
        <f>J47-J18</f>
        <v>5.5840739601986655E-4</v>
      </c>
      <c r="K48" s="72">
        <f>K47-K18</f>
        <v>2.9156013568987227E-2</v>
      </c>
      <c r="L48" s="63"/>
      <c r="M48" s="63"/>
      <c r="N48" s="72">
        <f>N47-N18</f>
        <v>-4.7383265194639645E-2</v>
      </c>
      <c r="O48" s="72">
        <f>O47-O18</f>
        <v>8.6440786424621274E-2</v>
      </c>
      <c r="P48" s="63"/>
      <c r="Q48" s="63"/>
      <c r="R48" s="71">
        <f>R47-R18</f>
        <v>-0.13002697403617258</v>
      </c>
      <c r="S48" s="72">
        <f>S47-S18</f>
        <v>-0.14749853933264623</v>
      </c>
      <c r="T48" s="71">
        <f>T47-T18</f>
        <v>0.45273494786280954</v>
      </c>
      <c r="U48" s="72">
        <f>U47-U18</f>
        <v>-0.12056468440878482</v>
      </c>
      <c r="V48" s="63"/>
      <c r="W48" s="63"/>
      <c r="X48" s="72">
        <f>X47-X18</f>
        <v>-0.30991007503230361</v>
      </c>
      <c r="Y48" s="72">
        <f>Y47-Y18</f>
        <v>-0.44183991889589397</v>
      </c>
      <c r="Z48" s="63"/>
      <c r="AA48" s="64"/>
    </row>
    <row r="49" spans="1:27" x14ac:dyDescent="0.3">
      <c r="A49" t="s">
        <v>46</v>
      </c>
      <c r="B49" s="117">
        <f>B48^2</f>
        <v>0.10576483418854993</v>
      </c>
      <c r="C49" s="118">
        <f>C48^2</f>
        <v>1.3780218648930826E-2</v>
      </c>
      <c r="D49" s="63"/>
      <c r="E49" s="63"/>
      <c r="F49" s="118">
        <f>F48^2</f>
        <v>6.9128471916833148E-2</v>
      </c>
      <c r="G49" s="118">
        <f>G48^2</f>
        <v>6.9020411115732899E-2</v>
      </c>
      <c r="H49" s="63"/>
      <c r="I49" s="63"/>
      <c r="J49" s="117">
        <f>J48^2</f>
        <v>3.1181881992968806E-7</v>
      </c>
      <c r="K49" s="118">
        <f>K48^2</f>
        <v>8.5007312723496726E-4</v>
      </c>
      <c r="L49" s="63"/>
      <c r="M49" s="63"/>
      <c r="N49" s="118">
        <f>N48^2</f>
        <v>2.245173820505549E-3</v>
      </c>
      <c r="O49" s="118">
        <f>O48^2</f>
        <v>7.4720095577069899E-3</v>
      </c>
      <c r="P49" s="63"/>
      <c r="Q49" s="63"/>
      <c r="R49" s="117">
        <f>R48^2</f>
        <v>1.6907013977003497E-2</v>
      </c>
      <c r="S49" s="118">
        <f>S48^2</f>
        <v>2.1755819105264185E-2</v>
      </c>
      <c r="T49" s="117">
        <f>T48^2</f>
        <v>0.20496893301634087</v>
      </c>
      <c r="U49" s="118">
        <f>U48^2</f>
        <v>1.4535843126589881E-2</v>
      </c>
      <c r="V49" s="63"/>
      <c r="W49" s="63"/>
      <c r="X49" s="118">
        <f>X48^2</f>
        <v>9.6044254606528059E-2</v>
      </c>
      <c r="Y49" s="118">
        <f>Y48^2</f>
        <v>0.19522251392993015</v>
      </c>
      <c r="Z49" s="63"/>
      <c r="AA49" s="64"/>
    </row>
    <row r="50" spans="1:27" s="10" customFormat="1" x14ac:dyDescent="0.3">
      <c r="A50" t="s">
        <v>47</v>
      </c>
      <c r="B50" s="71"/>
      <c r="C50" s="72">
        <f>SQRT(B49+C49)</f>
        <v>0.3457528782779411</v>
      </c>
      <c r="D50" s="63"/>
      <c r="E50" s="63"/>
      <c r="F50" s="72"/>
      <c r="G50" s="72">
        <f>SQRT(F49+G49)</f>
        <v>0.37168384822664285</v>
      </c>
      <c r="H50" s="63"/>
      <c r="I50" s="63"/>
      <c r="J50" s="71"/>
      <c r="K50" s="72">
        <f>SQRT(J49+K49)</f>
        <v>2.9161360497324144E-2</v>
      </c>
      <c r="L50" s="63"/>
      <c r="M50" s="63"/>
      <c r="N50" s="72"/>
      <c r="O50" s="72">
        <f>SQRT(N49+O49)</f>
        <v>9.8575774804018343E-2</v>
      </c>
      <c r="P50" s="63"/>
      <c r="Q50" s="63"/>
      <c r="R50" s="71"/>
      <c r="S50" s="72">
        <f>SQRT(R49+S49)</f>
        <v>0.19662866800715426</v>
      </c>
      <c r="T50" s="71"/>
      <c r="U50" s="72">
        <f>SQRT(T49+U49)</f>
        <v>0.468513368158189</v>
      </c>
      <c r="V50" s="63"/>
      <c r="W50" s="63"/>
      <c r="X50" s="72"/>
      <c r="Y50" s="72">
        <f>SQRT(X49+Y49)</f>
        <v>0.53969136414849017</v>
      </c>
      <c r="Z50" s="63"/>
      <c r="AA50" s="64"/>
    </row>
    <row r="51" spans="1:27" s="10" customFormat="1" x14ac:dyDescent="0.3">
      <c r="A51" t="s">
        <v>48</v>
      </c>
      <c r="B51" s="71"/>
      <c r="C51" s="77">
        <f>C50/C36</f>
        <v>7.230907455219146E-2</v>
      </c>
      <c r="D51" s="63"/>
      <c r="E51" s="63"/>
      <c r="F51" s="72"/>
      <c r="G51" s="77">
        <f>G50/G36</f>
        <v>7.7190407483371262E-2</v>
      </c>
      <c r="H51" s="63"/>
      <c r="I51" s="63"/>
      <c r="J51" s="71"/>
      <c r="K51" s="77">
        <f>K50/K36</f>
        <v>1.8202807921583655E-2</v>
      </c>
      <c r="L51" s="63"/>
      <c r="M51" s="63"/>
      <c r="N51" s="72"/>
      <c r="O51" s="77">
        <f>O50/O36</f>
        <v>6.4523105151689117E-2</v>
      </c>
      <c r="P51" s="63"/>
      <c r="Q51" s="63"/>
      <c r="R51" s="71"/>
      <c r="S51" s="77">
        <f>S50/S36</f>
        <v>2.9464996729955836E-2</v>
      </c>
      <c r="T51" s="71"/>
      <c r="U51" s="77">
        <f>U50/U36</f>
        <v>0.30282377003175365</v>
      </c>
      <c r="V51" s="63"/>
      <c r="W51" s="63"/>
      <c r="X51" s="72"/>
      <c r="Y51" s="77">
        <f>Y50/Y36</f>
        <v>0.22740913619791711</v>
      </c>
      <c r="Z51" s="63"/>
      <c r="AA51" s="64"/>
    </row>
    <row r="52" spans="1:27" s="10" customFormat="1" x14ac:dyDescent="0.3">
      <c r="A52"/>
      <c r="B52" s="71"/>
      <c r="C52" s="144"/>
      <c r="D52" s="63"/>
      <c r="E52" s="63"/>
      <c r="F52" s="72"/>
      <c r="G52" s="144"/>
      <c r="H52" s="63"/>
      <c r="I52" s="63"/>
      <c r="J52" s="71"/>
      <c r="K52" s="144"/>
      <c r="L52" s="63"/>
      <c r="M52" s="63"/>
      <c r="N52" s="72"/>
      <c r="O52" s="144"/>
      <c r="P52" s="63"/>
      <c r="Q52" s="63"/>
      <c r="R52" s="71"/>
      <c r="S52" s="144"/>
      <c r="T52" s="71"/>
      <c r="U52" s="144"/>
      <c r="V52" s="63"/>
      <c r="W52" s="63"/>
      <c r="X52" s="72"/>
      <c r="Y52" s="144"/>
      <c r="Z52" s="63"/>
      <c r="AA52" s="64"/>
    </row>
    <row r="53" spans="1:27" s="10" customFormat="1" x14ac:dyDescent="0.3">
      <c r="A53" t="s">
        <v>89</v>
      </c>
      <c r="B53" s="71">
        <f>MEDIAN(B50:G50)</f>
        <v>0.35871836325229201</v>
      </c>
      <c r="C53" s="144"/>
      <c r="D53" s="63"/>
      <c r="E53" s="63"/>
      <c r="F53" s="72"/>
      <c r="G53" s="144"/>
      <c r="H53" s="63"/>
      <c r="I53" s="63"/>
      <c r="J53" s="71">
        <f>MEDIAN(J50:O50)</f>
        <v>6.3868567650671254E-2</v>
      </c>
      <c r="K53" s="144"/>
      <c r="L53" s="63"/>
      <c r="M53" s="63"/>
      <c r="N53" s="72"/>
      <c r="O53" s="144"/>
      <c r="P53" s="63"/>
      <c r="Q53" s="63"/>
      <c r="R53" s="71"/>
      <c r="S53" s="144"/>
      <c r="T53" s="71">
        <f>MEDIAN(T50:Y50)</f>
        <v>0.50410236615333959</v>
      </c>
      <c r="U53" s="144"/>
      <c r="V53" s="63"/>
      <c r="W53" s="63"/>
      <c r="X53" s="72"/>
      <c r="Y53" s="144"/>
      <c r="Z53" s="63"/>
      <c r="AA53" s="64"/>
    </row>
    <row r="54" spans="1:27" s="10" customFormat="1" x14ac:dyDescent="0.3">
      <c r="A54" t="s">
        <v>81</v>
      </c>
      <c r="B54" s="71">
        <f>AVERAGE(B50:G50)</f>
        <v>0.35871836325229201</v>
      </c>
      <c r="C54" s="144"/>
      <c r="D54" s="63"/>
      <c r="E54" s="63"/>
      <c r="F54" s="72"/>
      <c r="G54" s="144"/>
      <c r="H54" s="63"/>
      <c r="I54" s="63"/>
      <c r="J54" s="71">
        <f>AVERAGE(J50:O50)</f>
        <v>6.386856765067124E-2</v>
      </c>
      <c r="K54" s="144"/>
      <c r="L54" s="63"/>
      <c r="M54" s="63"/>
      <c r="N54" s="72"/>
      <c r="O54" s="144"/>
      <c r="P54" s="63"/>
      <c r="Q54" s="63"/>
      <c r="R54" s="71"/>
      <c r="S54" s="144"/>
      <c r="T54" s="71">
        <f>AVERAGE(T50:Y50)</f>
        <v>0.50410236615333959</v>
      </c>
      <c r="U54" s="144"/>
      <c r="V54" s="63"/>
      <c r="W54" s="63"/>
      <c r="X54" s="72"/>
      <c r="Y54" s="144"/>
      <c r="Z54" s="63"/>
      <c r="AA54" s="64"/>
    </row>
    <row r="55" spans="1:27" s="10" customFormat="1" x14ac:dyDescent="0.3">
      <c r="A55" t="s">
        <v>82</v>
      </c>
      <c r="B55" s="71">
        <f>STDEV(B50:G50)</f>
        <v>1.8335964693471592E-2</v>
      </c>
      <c r="C55" s="144"/>
      <c r="D55" s="63"/>
      <c r="E55" s="63"/>
      <c r="F55" s="72"/>
      <c r="G55" s="144"/>
      <c r="H55" s="63"/>
      <c r="I55" s="63"/>
      <c r="J55" s="71">
        <f>STDEV(J50:O50)</f>
        <v>4.9083403068355971E-2</v>
      </c>
      <c r="K55" s="144"/>
      <c r="L55" s="63"/>
      <c r="M55" s="63"/>
      <c r="N55" s="72"/>
      <c r="O55" s="144"/>
      <c r="P55" s="63"/>
      <c r="Q55" s="63"/>
      <c r="R55" s="71"/>
      <c r="S55" s="144"/>
      <c r="T55" s="71">
        <f>STDEV(T50:Y50)</f>
        <v>5.0330443636010844E-2</v>
      </c>
      <c r="U55" s="144"/>
      <c r="V55" s="63"/>
      <c r="W55" s="63"/>
      <c r="X55" s="72"/>
      <c r="Y55" s="144"/>
      <c r="Z55" s="63"/>
      <c r="AA55" s="64"/>
    </row>
    <row r="56" spans="1:27" s="10" customFormat="1" x14ac:dyDescent="0.3">
      <c r="A56" t="s">
        <v>83</v>
      </c>
      <c r="B56" s="71"/>
      <c r="C56" s="144"/>
      <c r="D56" s="63"/>
      <c r="E56" s="63"/>
      <c r="F56" s="72"/>
      <c r="G56" s="144"/>
      <c r="H56" s="63"/>
      <c r="I56" s="63"/>
      <c r="J56" s="71"/>
      <c r="K56" s="144"/>
      <c r="L56" s="63"/>
      <c r="M56" s="63"/>
      <c r="N56" s="72"/>
      <c r="O56" s="144"/>
      <c r="P56" s="63"/>
      <c r="Q56" s="63"/>
      <c r="R56" s="71"/>
      <c r="S56" s="144"/>
      <c r="T56" s="71"/>
      <c r="U56" s="144"/>
      <c r="V56" s="63"/>
      <c r="W56" s="63"/>
      <c r="X56" s="72"/>
      <c r="Y56" s="144"/>
      <c r="Z56" s="63"/>
      <c r="AA56" s="64"/>
    </row>
    <row r="57" spans="1:27" s="10" customFormat="1" x14ac:dyDescent="0.3">
      <c r="A57"/>
      <c r="B57" s="71"/>
      <c r="C57" s="72"/>
      <c r="D57" s="63"/>
      <c r="E57" s="63"/>
      <c r="F57" s="72"/>
      <c r="G57" s="72"/>
      <c r="H57" s="63"/>
      <c r="I57" s="63"/>
      <c r="J57" s="71"/>
      <c r="K57" s="72"/>
      <c r="L57" s="63"/>
      <c r="M57" s="63"/>
      <c r="N57" s="72"/>
      <c r="O57" s="72"/>
      <c r="P57" s="63"/>
      <c r="Q57" s="63"/>
      <c r="R57" s="71"/>
      <c r="S57" s="72"/>
      <c r="T57" s="71"/>
      <c r="U57" s="72"/>
      <c r="V57" s="63"/>
      <c r="W57" s="63"/>
      <c r="X57" s="72"/>
      <c r="Y57" s="72"/>
      <c r="Z57" s="63"/>
      <c r="AA57" s="64"/>
    </row>
    <row r="58" spans="1:27" s="10" customFormat="1" x14ac:dyDescent="0.3">
      <c r="B58" s="145"/>
      <c r="C58" s="139"/>
      <c r="D58" s="63"/>
      <c r="E58" s="63"/>
      <c r="F58" s="139"/>
      <c r="G58" s="139"/>
      <c r="H58" s="63"/>
      <c r="I58" s="63"/>
      <c r="J58" s="145"/>
      <c r="K58" s="139"/>
      <c r="L58" s="63"/>
      <c r="M58" s="63"/>
      <c r="N58" s="139"/>
      <c r="O58" s="139"/>
      <c r="P58" s="63"/>
      <c r="Q58" s="63"/>
      <c r="R58" s="145"/>
      <c r="S58" s="139"/>
      <c r="T58" s="145"/>
      <c r="U58" s="139"/>
      <c r="V58" s="63"/>
      <c r="W58" s="63"/>
      <c r="X58" s="139"/>
      <c r="Y58" s="139"/>
      <c r="Z58" s="63"/>
      <c r="AA58" s="64"/>
    </row>
    <row r="59" spans="1:27" x14ac:dyDescent="0.3">
      <c r="A59" s="7" t="s">
        <v>115</v>
      </c>
      <c r="B59" s="146">
        <f>AVERAGE(B36:G36)</f>
        <v>4.7983766325244952</v>
      </c>
      <c r="C59" s="141">
        <f>AVERAGE(C37:G37)</f>
        <v>0.3503766325244948</v>
      </c>
      <c r="D59" s="302">
        <f>AVERAGE(C38:G38)</f>
        <v>7.8771724938060866E-2</v>
      </c>
      <c r="E59" s="63"/>
      <c r="F59" s="147"/>
      <c r="G59" s="118"/>
      <c r="H59" s="63"/>
      <c r="I59" s="63"/>
      <c r="J59" s="146">
        <f>AVERAGE(J36:O36)</f>
        <v>1.5648923525718512</v>
      </c>
      <c r="K59" s="141">
        <f>AVERAGE(K37:O37)</f>
        <v>-6.110764742814867E-2</v>
      </c>
      <c r="L59" s="302">
        <f>AVERAGE(K38:O38)</f>
        <v>-3.7581578984101277E-2</v>
      </c>
      <c r="M59" s="63"/>
      <c r="N59" s="147"/>
      <c r="O59" s="118"/>
      <c r="P59" s="63"/>
      <c r="Q59" s="63"/>
      <c r="R59" s="146"/>
      <c r="S59" s="118"/>
      <c r="T59" s="146">
        <f>AVERAGE(T36:Y36)</f>
        <v>1.9601830932926463</v>
      </c>
      <c r="U59" s="141">
        <f>AVERAGE(U37:Y37)</f>
        <v>5.1830932926463236E-3</v>
      </c>
      <c r="V59" s="302">
        <f>AVERAGE(U38:Y38)</f>
        <v>2.6511986151643574E-3</v>
      </c>
      <c r="W59" s="63"/>
      <c r="X59" s="147"/>
      <c r="Y59" s="118"/>
      <c r="Z59" s="63"/>
      <c r="AA59" s="64"/>
    </row>
    <row r="60" spans="1:27" x14ac:dyDescent="0.3">
      <c r="A60" s="10" t="s">
        <v>116</v>
      </c>
      <c r="B60" s="146">
        <f>STDEV(B36:G36)</f>
        <v>2.3729508114389761E-2</v>
      </c>
      <c r="C60" s="118"/>
      <c r="D60" s="63"/>
      <c r="E60" s="63"/>
      <c r="F60" s="118"/>
      <c r="G60" s="118"/>
      <c r="H60" s="63"/>
      <c r="I60" s="63"/>
      <c r="J60" s="146">
        <f>STDEV(J36:O36)</f>
        <v>5.251404806841227E-2</v>
      </c>
      <c r="K60" s="118"/>
      <c r="L60" s="63"/>
      <c r="M60" s="63"/>
      <c r="N60" s="118"/>
      <c r="O60" s="118"/>
      <c r="P60" s="63"/>
      <c r="Q60" s="63"/>
      <c r="R60" s="146"/>
      <c r="S60" s="118"/>
      <c r="T60" s="146">
        <f>STDEV(T36:Y36)</f>
        <v>0.58411899938974465</v>
      </c>
      <c r="U60" s="118">
        <f>STDEV(U37,Y37)</f>
        <v>0.58411899938974354</v>
      </c>
      <c r="V60" s="63"/>
      <c r="W60" s="63"/>
      <c r="X60" s="118"/>
      <c r="Y60" s="118"/>
      <c r="Z60" s="63"/>
      <c r="AA60" s="64"/>
    </row>
    <row r="61" spans="1:27" x14ac:dyDescent="0.3">
      <c r="A61" s="10" t="s">
        <v>117</v>
      </c>
      <c r="B61" s="146">
        <f>AVERAGE(B42:G42)</f>
        <v>125.45353958786525</v>
      </c>
      <c r="C61" s="118"/>
      <c r="D61" s="63"/>
      <c r="E61" s="63"/>
      <c r="F61" s="141"/>
      <c r="G61" s="118"/>
      <c r="H61" s="63"/>
      <c r="I61" s="63"/>
      <c r="J61" s="146">
        <f>AVERAGE(J42:O42)</f>
        <v>213.75228377101848</v>
      </c>
      <c r="K61" s="118"/>
      <c r="L61" s="63"/>
      <c r="M61" s="63"/>
      <c r="N61" s="141"/>
      <c r="O61" s="118"/>
      <c r="P61" s="63"/>
      <c r="Q61" s="63"/>
      <c r="R61" s="146"/>
      <c r="S61" s="118"/>
      <c r="T61" s="146">
        <f>AVERAGE(T42:Y42)</f>
        <v>109.33237602091548</v>
      </c>
      <c r="U61" s="118"/>
      <c r="V61" s="63"/>
      <c r="W61" s="63"/>
      <c r="X61" s="141"/>
      <c r="Y61" s="118"/>
      <c r="Z61" s="63"/>
      <c r="AA61" s="64"/>
    </row>
    <row r="62" spans="1:27" ht="15" thickBot="1" x14ac:dyDescent="0.35">
      <c r="A62" s="10" t="s">
        <v>118</v>
      </c>
      <c r="B62" s="148">
        <f>STDEV(B42:G42)</f>
        <v>1.304671110736046</v>
      </c>
      <c r="C62" s="149"/>
      <c r="D62" s="78"/>
      <c r="E62" s="78"/>
      <c r="F62" s="149"/>
      <c r="G62" s="149"/>
      <c r="H62" s="78"/>
      <c r="I62" s="78"/>
      <c r="J62" s="148">
        <f>STDEV(J42:O42)</f>
        <v>0.20797990082497073</v>
      </c>
      <c r="K62" s="149"/>
      <c r="L62" s="78"/>
      <c r="M62" s="78"/>
      <c r="N62" s="149"/>
      <c r="O62" s="149"/>
      <c r="P62" s="78"/>
      <c r="Q62" s="78"/>
      <c r="R62" s="161"/>
      <c r="S62" s="149"/>
      <c r="T62" s="148">
        <f>STDEV(T42:Y42)</f>
        <v>1.0476785617061879</v>
      </c>
      <c r="U62" s="149"/>
      <c r="V62" s="78"/>
      <c r="W62" s="78"/>
      <c r="X62" s="149"/>
      <c r="Y62" s="149"/>
      <c r="Z62" s="78"/>
      <c r="AA62" s="79"/>
    </row>
  </sheetData>
  <mergeCells count="26">
    <mergeCell ref="B34:C34"/>
    <mergeCell ref="F34:G34"/>
    <mergeCell ref="J34:K34"/>
    <mergeCell ref="N34:O34"/>
    <mergeCell ref="B19:C19"/>
    <mergeCell ref="F19:G19"/>
    <mergeCell ref="J19:K19"/>
    <mergeCell ref="N19:O19"/>
    <mergeCell ref="X10:Y10"/>
    <mergeCell ref="Z10:AA10"/>
    <mergeCell ref="T19:U19"/>
    <mergeCell ref="X19:Y19"/>
    <mergeCell ref="T34:U34"/>
    <mergeCell ref="X34:Y34"/>
    <mergeCell ref="T10:U10"/>
    <mergeCell ref="V10:W10"/>
    <mergeCell ref="R19:S19"/>
    <mergeCell ref="B10:C10"/>
    <mergeCell ref="D10:E10"/>
    <mergeCell ref="F10:G10"/>
    <mergeCell ref="H10:I10"/>
    <mergeCell ref="J10:K10"/>
    <mergeCell ref="L10:M10"/>
    <mergeCell ref="N10:O10"/>
    <mergeCell ref="P10:Q10"/>
    <mergeCell ref="R10:S10"/>
  </mergeCells>
  <phoneticPr fontId="10" type="noConversion"/>
  <pageMargins left="0.7" right="0.7" top="0.75" bottom="0.75" header="0.3" footer="0.3"/>
  <pageSetup scale="4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C63"/>
  <sheetViews>
    <sheetView zoomScale="85" zoomScaleNormal="85" workbookViewId="0">
      <pane xSplit="1" ySplit="2" topLeftCell="BF3" activePane="bottomRight" state="frozenSplit"/>
      <selection pane="topRight"/>
      <selection pane="bottomLeft" activeCell="A3" sqref="A3"/>
      <selection pane="bottomRight" activeCell="BO16" sqref="BO16"/>
    </sheetView>
  </sheetViews>
  <sheetFormatPr defaultColWidth="9.109375" defaultRowHeight="14.4" x14ac:dyDescent="0.3"/>
  <cols>
    <col min="1" max="1" width="28" style="118" customWidth="1"/>
    <col min="2" max="3" width="11.6640625" style="118" customWidth="1"/>
    <col min="4" max="5" width="9.109375" style="63" customWidth="1"/>
    <col min="6" max="7" width="11.6640625" style="118" customWidth="1"/>
    <col min="8" max="9" width="9.109375" style="63" customWidth="1"/>
    <col min="10" max="11" width="11.6640625" style="118" customWidth="1"/>
    <col min="12" max="13" width="9.109375" style="63" customWidth="1"/>
    <col min="14" max="15" width="11.6640625" style="118" customWidth="1"/>
    <col min="16" max="17" width="9.109375" style="63" customWidth="1"/>
    <col min="18" max="19" width="11.6640625" style="118" customWidth="1"/>
    <col min="20" max="23" width="9.109375" style="63" customWidth="1"/>
    <col min="24" max="25" width="11.6640625" style="118" customWidth="1"/>
    <col min="26" max="27" width="9.109375" style="63" customWidth="1"/>
    <col min="28" max="16384" width="9.109375" style="118"/>
  </cols>
  <sheetData>
    <row r="1" spans="1:81" s="127" customFormat="1" x14ac:dyDescent="0.3">
      <c r="A1" s="120" t="s">
        <v>39</v>
      </c>
      <c r="B1" s="120"/>
      <c r="C1" s="120"/>
      <c r="D1" s="67"/>
      <c r="E1" s="67"/>
      <c r="F1" s="120"/>
      <c r="G1" s="120"/>
      <c r="H1" s="67"/>
      <c r="I1" s="67"/>
      <c r="J1" s="120"/>
      <c r="K1" s="120"/>
      <c r="L1" s="67"/>
      <c r="M1" s="67"/>
      <c r="N1" s="120"/>
      <c r="O1" s="120"/>
      <c r="P1" s="67"/>
      <c r="Q1" s="67"/>
      <c r="R1" s="120"/>
      <c r="S1" s="120"/>
      <c r="T1" s="67"/>
      <c r="U1" s="67"/>
      <c r="V1" s="67"/>
      <c r="W1" s="67"/>
      <c r="X1" s="120"/>
      <c r="Y1" s="120"/>
      <c r="Z1" s="67"/>
      <c r="AA1" s="67"/>
    </row>
    <row r="2" spans="1:81" s="249" customFormat="1" x14ac:dyDescent="0.3">
      <c r="B2" s="116"/>
      <c r="C2" s="116" t="s">
        <v>291</v>
      </c>
      <c r="D2" s="61"/>
      <c r="E2" s="61" t="s">
        <v>292</v>
      </c>
      <c r="F2" s="116"/>
      <c r="G2" s="116" t="s">
        <v>293</v>
      </c>
      <c r="H2" s="61"/>
      <c r="I2" s="61" t="s">
        <v>294</v>
      </c>
      <c r="J2" s="116"/>
      <c r="K2" s="116" t="s">
        <v>295</v>
      </c>
      <c r="L2" s="61"/>
      <c r="M2" s="61" t="s">
        <v>296</v>
      </c>
      <c r="N2" s="116"/>
      <c r="O2" s="116" t="s">
        <v>323</v>
      </c>
      <c r="P2" s="61"/>
      <c r="Q2" s="61" t="s">
        <v>297</v>
      </c>
      <c r="R2" s="116"/>
      <c r="S2" s="116" t="s">
        <v>298</v>
      </c>
      <c r="T2" s="61"/>
      <c r="U2" s="116" t="s">
        <v>299</v>
      </c>
      <c r="V2" s="116"/>
      <c r="W2" s="116" t="s">
        <v>329</v>
      </c>
      <c r="X2" s="116"/>
      <c r="Y2" s="61" t="s">
        <v>300</v>
      </c>
      <c r="Z2" s="61"/>
      <c r="AA2" s="116" t="s">
        <v>301</v>
      </c>
      <c r="AB2" s="116"/>
      <c r="AC2" s="61" t="s">
        <v>302</v>
      </c>
      <c r="AD2" s="61"/>
      <c r="AE2" s="116" t="s">
        <v>303</v>
      </c>
      <c r="AF2" s="116"/>
      <c r="AG2" s="61" t="s">
        <v>304</v>
      </c>
      <c r="AH2" s="61"/>
      <c r="AI2" s="116" t="s">
        <v>305</v>
      </c>
      <c r="AJ2" s="116"/>
      <c r="AK2" s="61" t="s">
        <v>306</v>
      </c>
      <c r="AL2" s="61"/>
      <c r="AM2" s="116" t="s">
        <v>307</v>
      </c>
      <c r="AN2" s="116"/>
      <c r="AO2" s="61" t="s">
        <v>312</v>
      </c>
      <c r="AP2" s="61"/>
      <c r="AQ2" s="116" t="s">
        <v>308</v>
      </c>
      <c r="AR2" s="116"/>
      <c r="AS2" s="61" t="s">
        <v>311</v>
      </c>
      <c r="AT2" s="83"/>
      <c r="AU2" s="256" t="s">
        <v>333</v>
      </c>
      <c r="AV2" s="256"/>
      <c r="AW2" s="256" t="s">
        <v>334</v>
      </c>
      <c r="AX2" s="253"/>
      <c r="AY2" s="257" t="s">
        <v>336</v>
      </c>
      <c r="AZ2" s="83"/>
      <c r="BA2" s="256" t="s">
        <v>309</v>
      </c>
      <c r="BB2" s="116"/>
      <c r="BC2" s="61" t="s">
        <v>310</v>
      </c>
      <c r="BD2" s="61"/>
      <c r="BE2" s="116" t="s">
        <v>313</v>
      </c>
      <c r="BF2" s="116"/>
      <c r="BG2" s="61" t="s">
        <v>314</v>
      </c>
      <c r="BH2" s="61"/>
      <c r="BI2" s="116" t="s">
        <v>315</v>
      </c>
      <c r="BJ2" s="116"/>
      <c r="BK2" s="61" t="s">
        <v>316</v>
      </c>
      <c r="BL2" s="61"/>
      <c r="BM2" s="116" t="s">
        <v>317</v>
      </c>
      <c r="BN2" s="116"/>
      <c r="BO2" s="61" t="s">
        <v>318</v>
      </c>
      <c r="BP2" s="61"/>
      <c r="BQ2" s="116" t="s">
        <v>325</v>
      </c>
      <c r="BR2" s="61"/>
      <c r="BS2" s="116" t="s">
        <v>326</v>
      </c>
      <c r="BT2" s="116"/>
      <c r="BU2" s="61" t="s">
        <v>324</v>
      </c>
      <c r="BV2" s="61"/>
      <c r="BW2" s="116" t="s">
        <v>319</v>
      </c>
      <c r="BX2" s="116"/>
      <c r="BY2" s="61" t="s">
        <v>320</v>
      </c>
      <c r="BZ2" s="61"/>
      <c r="CA2" s="116" t="s">
        <v>321</v>
      </c>
      <c r="CB2" s="116"/>
      <c r="CC2" s="61" t="s">
        <v>322</v>
      </c>
    </row>
    <row r="3" spans="1:81" s="249" customFormat="1" x14ac:dyDescent="0.3">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83"/>
      <c r="U3" s="83"/>
      <c r="V3" s="83"/>
      <c r="W3" s="83"/>
      <c r="X3" s="116" t="s">
        <v>61</v>
      </c>
      <c r="Y3" s="116" t="s">
        <v>60</v>
      </c>
      <c r="Z3" s="61"/>
      <c r="AA3" s="61"/>
      <c r="AZ3" s="259"/>
      <c r="BA3" s="259"/>
      <c r="BD3" s="118"/>
      <c r="BE3" s="118"/>
    </row>
    <row r="4" spans="1:81" x14ac:dyDescent="0.3">
      <c r="A4" s="118" t="s">
        <v>1</v>
      </c>
      <c r="B4" s="118">
        <v>676.51400000000001</v>
      </c>
      <c r="C4" s="118">
        <f>960-413.814</f>
        <v>546.18599999999992</v>
      </c>
      <c r="D4" s="63">
        <v>726</v>
      </c>
      <c r="E4" s="63">
        <v>735</v>
      </c>
      <c r="F4" s="118">
        <v>645.91499999999996</v>
      </c>
      <c r="G4" s="118">
        <f>960-499.28</f>
        <v>460.72</v>
      </c>
      <c r="H4" s="63">
        <v>749</v>
      </c>
      <c r="I4" s="63">
        <v>719</v>
      </c>
      <c r="J4" s="219">
        <v>654.048</v>
      </c>
      <c r="K4" s="74">
        <f>960-508.087</f>
        <v>451.91300000000001</v>
      </c>
      <c r="L4" s="63">
        <v>753</v>
      </c>
      <c r="M4" s="63">
        <v>658</v>
      </c>
      <c r="N4" s="118">
        <v>621.47400000000005</v>
      </c>
      <c r="O4" s="118">
        <f>960-509</f>
        <v>451</v>
      </c>
      <c r="P4" s="63">
        <v>677</v>
      </c>
      <c r="Q4" s="63">
        <v>634</v>
      </c>
      <c r="R4" s="118">
        <v>644</v>
      </c>
      <c r="S4" s="118">
        <v>451</v>
      </c>
      <c r="T4" s="74">
        <v>473.5</v>
      </c>
      <c r="U4" s="74">
        <v>499</v>
      </c>
      <c r="V4" s="74">
        <v>756</v>
      </c>
      <c r="W4" s="74">
        <v>449</v>
      </c>
      <c r="X4" s="118">
        <v>930</v>
      </c>
      <c r="Y4" s="118">
        <v>410</v>
      </c>
      <c r="Z4" s="74">
        <v>541</v>
      </c>
      <c r="AA4" s="74">
        <v>578</v>
      </c>
      <c r="AB4" s="118">
        <v>918</v>
      </c>
      <c r="AC4" s="217">
        <v>556</v>
      </c>
      <c r="AD4" s="217">
        <v>629</v>
      </c>
      <c r="AE4" s="217">
        <v>462</v>
      </c>
      <c r="AF4" s="118">
        <v>704</v>
      </c>
      <c r="AG4" s="118">
        <v>717</v>
      </c>
      <c r="AH4" s="217">
        <v>567.41600000000005</v>
      </c>
      <c r="AI4" s="118">
        <f>960-443.668</f>
        <v>516.33199999999999</v>
      </c>
      <c r="AJ4" s="217">
        <v>624</v>
      </c>
      <c r="AK4" s="217">
        <v>695</v>
      </c>
      <c r="AL4" s="217">
        <v>600</v>
      </c>
      <c r="AM4" s="217">
        <v>528</v>
      </c>
      <c r="AN4" s="217">
        <v>667</v>
      </c>
      <c r="AO4" s="217">
        <v>695</v>
      </c>
      <c r="AP4" s="217">
        <v>752</v>
      </c>
      <c r="AQ4" s="217">
        <v>429</v>
      </c>
      <c r="AR4" s="217">
        <v>939</v>
      </c>
      <c r="AS4" s="217">
        <v>329</v>
      </c>
      <c r="AT4" s="217">
        <v>746</v>
      </c>
      <c r="AU4" s="217">
        <v>405</v>
      </c>
      <c r="AV4" s="217">
        <v>766</v>
      </c>
      <c r="AW4" s="217">
        <v>371</v>
      </c>
      <c r="AX4" s="217">
        <v>899</v>
      </c>
      <c r="AY4" s="217">
        <v>305</v>
      </c>
      <c r="AZ4" s="260">
        <v>854.13499999999999</v>
      </c>
      <c r="BA4" s="258">
        <f>960-414.256</f>
        <v>545.74400000000003</v>
      </c>
      <c r="BB4" s="118">
        <v>936</v>
      </c>
      <c r="BC4" s="118">
        <v>504</v>
      </c>
      <c r="BD4" s="118">
        <v>782.83500000000004</v>
      </c>
      <c r="BE4" s="118">
        <f>960-563.874</f>
        <v>396.12599999999998</v>
      </c>
      <c r="BF4" s="118">
        <v>928</v>
      </c>
      <c r="BG4" s="217">
        <v>374</v>
      </c>
      <c r="BH4" s="118">
        <v>626.58500000000004</v>
      </c>
      <c r="BI4" s="118">
        <f>960-501.257</f>
        <v>458.74299999999999</v>
      </c>
      <c r="BJ4" s="118">
        <v>932</v>
      </c>
      <c r="BK4" s="118">
        <v>404</v>
      </c>
      <c r="BL4" s="118">
        <v>550.03300000000002</v>
      </c>
      <c r="BM4" s="118">
        <f>960-548.967</f>
        <v>411.03300000000002</v>
      </c>
      <c r="BN4" s="118">
        <v>899</v>
      </c>
      <c r="BO4" s="118">
        <v>366</v>
      </c>
      <c r="BP4" s="118">
        <v>549.63400000000001</v>
      </c>
      <c r="BQ4" s="118">
        <f>960-504.173</f>
        <v>455.827</v>
      </c>
      <c r="BR4" s="118">
        <v>673.64099999999996</v>
      </c>
      <c r="BS4" s="118">
        <f>960-522.288</f>
        <v>437.71199999999999</v>
      </c>
      <c r="BT4" s="63">
        <v>1015</v>
      </c>
      <c r="BU4" s="63">
        <v>381</v>
      </c>
      <c r="BV4" s="118">
        <v>551</v>
      </c>
      <c r="BW4" s="118">
        <f>960-515</f>
        <v>445</v>
      </c>
      <c r="BX4" s="118">
        <v>929</v>
      </c>
      <c r="BY4" s="217">
        <v>374</v>
      </c>
      <c r="BZ4" s="118">
        <v>730</v>
      </c>
      <c r="CA4" s="118">
        <f>960-435</f>
        <v>525</v>
      </c>
      <c r="CB4" s="118">
        <v>808</v>
      </c>
      <c r="CC4" s="217">
        <v>656</v>
      </c>
    </row>
    <row r="5" spans="1:81" x14ac:dyDescent="0.3">
      <c r="A5" s="118" t="s">
        <v>2</v>
      </c>
      <c r="B5" s="118">
        <v>634.80600000000004</v>
      </c>
      <c r="C5" s="118">
        <f>960-446.081</f>
        <v>513.91899999999998</v>
      </c>
      <c r="D5" s="63">
        <v>594</v>
      </c>
      <c r="E5" s="63">
        <v>120</v>
      </c>
      <c r="F5" s="118">
        <v>641.73599999999999</v>
      </c>
      <c r="G5" s="118">
        <f>960-486.716</f>
        <v>473.28399999999999</v>
      </c>
      <c r="H5" s="63">
        <v>648</v>
      </c>
      <c r="I5" s="63">
        <v>300</v>
      </c>
      <c r="J5" s="258">
        <v>688.31799999999998</v>
      </c>
      <c r="K5" s="258">
        <f>960-510.582</f>
        <v>449.41800000000001</v>
      </c>
      <c r="L5" s="63">
        <v>597</v>
      </c>
      <c r="M5" s="63">
        <v>45</v>
      </c>
      <c r="N5" s="74">
        <v>641.83900000000006</v>
      </c>
      <c r="O5" s="74">
        <f>960-566.25</f>
        <v>393.75</v>
      </c>
      <c r="P5" s="63">
        <v>564</v>
      </c>
      <c r="Q5" s="63">
        <v>139</v>
      </c>
      <c r="R5" s="74">
        <v>648</v>
      </c>
      <c r="S5" s="74">
        <v>453</v>
      </c>
      <c r="T5" s="74">
        <v>475</v>
      </c>
      <c r="U5" s="74">
        <v>495</v>
      </c>
      <c r="V5" s="74">
        <v>757</v>
      </c>
      <c r="W5" s="74">
        <v>445</v>
      </c>
      <c r="X5" s="74">
        <v>375</v>
      </c>
      <c r="Y5" s="74">
        <v>411</v>
      </c>
      <c r="Z5" s="74">
        <v>546</v>
      </c>
      <c r="AA5" s="74">
        <v>576</v>
      </c>
      <c r="AB5" s="219">
        <v>325</v>
      </c>
      <c r="AC5" s="219">
        <v>549</v>
      </c>
      <c r="AD5" s="219">
        <v>626</v>
      </c>
      <c r="AE5" s="219">
        <v>454</v>
      </c>
      <c r="AF5" s="254">
        <v>620</v>
      </c>
      <c r="AG5" s="254">
        <v>135</v>
      </c>
      <c r="AH5" s="219">
        <v>530.08199999999999</v>
      </c>
      <c r="AI5" s="118">
        <f>960-483.105</f>
        <v>476.89499999999998</v>
      </c>
      <c r="AJ5" s="118">
        <v>553</v>
      </c>
      <c r="AK5" s="118">
        <v>184</v>
      </c>
      <c r="AL5" s="217">
        <v>611</v>
      </c>
      <c r="AM5" s="217">
        <v>526</v>
      </c>
      <c r="AN5" s="217">
        <v>584</v>
      </c>
      <c r="AO5" s="217">
        <v>136</v>
      </c>
      <c r="AP5" s="217">
        <v>752</v>
      </c>
      <c r="AQ5" s="217">
        <v>420</v>
      </c>
      <c r="AR5" s="217">
        <v>434</v>
      </c>
      <c r="AS5" s="217">
        <v>361</v>
      </c>
      <c r="AT5" s="217">
        <v>747</v>
      </c>
      <c r="AU5" s="217">
        <v>395</v>
      </c>
      <c r="AV5" s="217">
        <v>766</v>
      </c>
      <c r="AW5" s="217">
        <v>360</v>
      </c>
      <c r="AX5" s="217">
        <v>354</v>
      </c>
      <c r="AY5" s="217">
        <v>351</v>
      </c>
      <c r="AZ5" s="260">
        <v>861.10900000000004</v>
      </c>
      <c r="BA5" s="258">
        <f>960-406.27</f>
        <v>553.73</v>
      </c>
      <c r="BB5" s="118">
        <v>275</v>
      </c>
      <c r="BC5" s="118">
        <v>563</v>
      </c>
      <c r="BD5" s="118">
        <v>787.33</v>
      </c>
      <c r="BE5" s="118">
        <f>960-544.374</f>
        <v>415.62599999999998</v>
      </c>
      <c r="BF5" s="118">
        <v>329</v>
      </c>
      <c r="BG5" s="217">
        <v>421</v>
      </c>
      <c r="BH5" s="118">
        <v>659.07600000000002</v>
      </c>
      <c r="BI5" s="118">
        <f>960-536.194</f>
        <v>423.80600000000004</v>
      </c>
      <c r="BJ5" s="118">
        <v>295</v>
      </c>
      <c r="BK5" s="118">
        <v>463</v>
      </c>
      <c r="BL5" s="118">
        <v>588.76599999999996</v>
      </c>
      <c r="BM5" s="118">
        <f>960-560.757</f>
        <v>399.24300000000005</v>
      </c>
      <c r="BN5" s="118">
        <v>287</v>
      </c>
      <c r="BO5" s="118">
        <v>420</v>
      </c>
      <c r="BP5" s="118">
        <v>569.04200000000003</v>
      </c>
      <c r="BQ5" s="118">
        <f>960-501.732</f>
        <v>458.26799999999997</v>
      </c>
      <c r="BR5" s="118">
        <v>671.09500000000003</v>
      </c>
      <c r="BS5" s="118">
        <f>960-503.353</f>
        <v>456.64699999999999</v>
      </c>
      <c r="BT5" s="63">
        <v>518</v>
      </c>
      <c r="BU5" s="63">
        <v>410</v>
      </c>
      <c r="BV5" s="118">
        <v>540</v>
      </c>
      <c r="BW5" s="118">
        <f>960-517</f>
        <v>443</v>
      </c>
      <c r="BX5" s="118">
        <v>414</v>
      </c>
      <c r="BY5" s="217">
        <v>424</v>
      </c>
      <c r="BZ5" s="118">
        <v>729</v>
      </c>
      <c r="CA5" s="118">
        <f>960-445</f>
        <v>515</v>
      </c>
      <c r="CB5" s="118">
        <v>620</v>
      </c>
      <c r="CC5" s="217">
        <v>141</v>
      </c>
    </row>
    <row r="6" spans="1:81" x14ac:dyDescent="0.3">
      <c r="A6" s="118" t="s">
        <v>4</v>
      </c>
      <c r="B6" s="118">
        <f t="shared" ref="B6:Q6" si="0">B5-B4</f>
        <v>-41.70799999999997</v>
      </c>
      <c r="C6" s="118">
        <f t="shared" si="0"/>
        <v>-32.266999999999939</v>
      </c>
      <c r="D6" s="63">
        <f t="shared" si="0"/>
        <v>-132</v>
      </c>
      <c r="E6" s="63">
        <f t="shared" si="0"/>
        <v>-615</v>
      </c>
      <c r="F6" s="74">
        <f t="shared" si="0"/>
        <v>-4.1789999999999736</v>
      </c>
      <c r="G6" s="74">
        <f t="shared" si="0"/>
        <v>12.563999999999965</v>
      </c>
      <c r="H6" s="63">
        <f t="shared" si="0"/>
        <v>-101</v>
      </c>
      <c r="I6" s="63">
        <f t="shared" si="0"/>
        <v>-419</v>
      </c>
      <c r="J6" s="74">
        <f>J5-J4</f>
        <v>34.269999999999982</v>
      </c>
      <c r="K6" s="74">
        <f>K5-K4</f>
        <v>-2.4950000000000045</v>
      </c>
      <c r="L6" s="63">
        <f>L5-L4</f>
        <v>-156</v>
      </c>
      <c r="M6" s="63">
        <f>M5-M4</f>
        <v>-613</v>
      </c>
      <c r="N6" s="74">
        <f t="shared" si="0"/>
        <v>20.365000000000009</v>
      </c>
      <c r="O6" s="74">
        <f t="shared" si="0"/>
        <v>-57.25</v>
      </c>
      <c r="P6" s="63">
        <f t="shared" si="0"/>
        <v>-113</v>
      </c>
      <c r="Q6" s="63">
        <f t="shared" si="0"/>
        <v>-495</v>
      </c>
      <c r="R6" s="74">
        <f>R5-R4</f>
        <v>4</v>
      </c>
      <c r="S6" s="74">
        <f>S5-S4</f>
        <v>2</v>
      </c>
      <c r="T6" s="74">
        <f t="shared" ref="T6:Y6" si="1">T5-T4</f>
        <v>1.5</v>
      </c>
      <c r="U6" s="74">
        <f t="shared" si="1"/>
        <v>-4</v>
      </c>
      <c r="V6" s="74">
        <f>V5-V4</f>
        <v>1</v>
      </c>
      <c r="W6" s="74">
        <f>W5-W4</f>
        <v>-4</v>
      </c>
      <c r="X6" s="74">
        <f t="shared" si="1"/>
        <v>-555</v>
      </c>
      <c r="Y6" s="74">
        <f t="shared" si="1"/>
        <v>1</v>
      </c>
      <c r="Z6" s="74">
        <f t="shared" ref="Z6:AW6" si="2">Z5-Z4</f>
        <v>5</v>
      </c>
      <c r="AA6" s="74">
        <f t="shared" si="2"/>
        <v>-2</v>
      </c>
      <c r="AB6" s="63">
        <f t="shared" si="2"/>
        <v>-593</v>
      </c>
      <c r="AC6" s="63">
        <f t="shared" si="2"/>
        <v>-7</v>
      </c>
      <c r="AD6" s="74">
        <f t="shared" si="2"/>
        <v>-3</v>
      </c>
      <c r="AE6" s="74">
        <f t="shared" si="2"/>
        <v>-8</v>
      </c>
      <c r="AF6" s="63">
        <f t="shared" si="2"/>
        <v>-84</v>
      </c>
      <c r="AG6" s="63">
        <f t="shared" si="2"/>
        <v>-582</v>
      </c>
      <c r="AH6" s="74">
        <f t="shared" si="2"/>
        <v>-37.33400000000006</v>
      </c>
      <c r="AI6" s="74">
        <f t="shared" si="2"/>
        <v>-39.437000000000012</v>
      </c>
      <c r="AJ6" s="63">
        <f t="shared" si="2"/>
        <v>-71</v>
      </c>
      <c r="AK6" s="63">
        <f t="shared" si="2"/>
        <v>-511</v>
      </c>
      <c r="AL6" s="74">
        <f t="shared" si="2"/>
        <v>11</v>
      </c>
      <c r="AM6" s="74">
        <f t="shared" si="2"/>
        <v>-2</v>
      </c>
      <c r="AN6" s="63">
        <f t="shared" si="2"/>
        <v>-83</v>
      </c>
      <c r="AO6" s="63">
        <f t="shared" si="2"/>
        <v>-559</v>
      </c>
      <c r="AP6" s="74">
        <f t="shared" si="2"/>
        <v>0</v>
      </c>
      <c r="AQ6" s="74">
        <f t="shared" si="2"/>
        <v>-9</v>
      </c>
      <c r="AR6" s="63">
        <f t="shared" si="2"/>
        <v>-505</v>
      </c>
      <c r="AS6" s="63">
        <f t="shared" si="2"/>
        <v>32</v>
      </c>
      <c r="AT6" s="74">
        <f t="shared" si="2"/>
        <v>1</v>
      </c>
      <c r="AU6" s="74">
        <f t="shared" si="2"/>
        <v>-10</v>
      </c>
      <c r="AV6" s="74">
        <f t="shared" si="2"/>
        <v>0</v>
      </c>
      <c r="AW6" s="74">
        <f t="shared" si="2"/>
        <v>-11</v>
      </c>
      <c r="AX6" s="63">
        <f>AX5-AX4</f>
        <v>-545</v>
      </c>
      <c r="AY6" s="63">
        <f>AY5-AY4</f>
        <v>46</v>
      </c>
      <c r="AZ6" s="74">
        <f>AZ5-AZ4</f>
        <v>6.9740000000000464</v>
      </c>
      <c r="BA6" s="74">
        <f>BA5-BA4</f>
        <v>7.98599999999999</v>
      </c>
      <c r="BB6" s="63">
        <f t="shared" ref="BB6:BG6" si="3">BB5-BB4</f>
        <v>-661</v>
      </c>
      <c r="BC6" s="63">
        <f t="shared" si="3"/>
        <v>59</v>
      </c>
      <c r="BD6" s="74">
        <f t="shared" si="3"/>
        <v>4.4950000000000045</v>
      </c>
      <c r="BE6" s="74">
        <f t="shared" si="3"/>
        <v>19.5</v>
      </c>
      <c r="BF6" s="63">
        <f t="shared" si="3"/>
        <v>-599</v>
      </c>
      <c r="BG6" s="63">
        <f t="shared" si="3"/>
        <v>47</v>
      </c>
      <c r="BH6" s="74">
        <f t="shared" ref="BH6:BO6" si="4">BH5-BH4</f>
        <v>32.490999999999985</v>
      </c>
      <c r="BI6" s="74">
        <f t="shared" si="4"/>
        <v>-34.936999999999955</v>
      </c>
      <c r="BJ6" s="63">
        <f t="shared" si="4"/>
        <v>-637</v>
      </c>
      <c r="BK6" s="63">
        <f t="shared" si="4"/>
        <v>59</v>
      </c>
      <c r="BL6" s="74">
        <f t="shared" si="4"/>
        <v>38.732999999999947</v>
      </c>
      <c r="BM6" s="74">
        <f t="shared" si="4"/>
        <v>-11.789999999999964</v>
      </c>
      <c r="BN6" s="63">
        <f t="shared" si="4"/>
        <v>-612</v>
      </c>
      <c r="BO6" s="63">
        <f t="shared" si="4"/>
        <v>54</v>
      </c>
      <c r="BP6" s="74">
        <f t="shared" ref="BP6:BU6" si="5">BP5-BP4</f>
        <v>19.408000000000015</v>
      </c>
      <c r="BQ6" s="74">
        <f t="shared" si="5"/>
        <v>2.4409999999999741</v>
      </c>
      <c r="BR6" s="74">
        <f t="shared" si="5"/>
        <v>-2.5459999999999354</v>
      </c>
      <c r="BS6" s="74">
        <f t="shared" si="5"/>
        <v>18.935000000000002</v>
      </c>
      <c r="BT6" s="63">
        <f t="shared" si="5"/>
        <v>-497</v>
      </c>
      <c r="BU6" s="63">
        <f t="shared" si="5"/>
        <v>29</v>
      </c>
      <c r="BV6" s="74">
        <f t="shared" ref="BV6:CC6" si="6">BV5-BV4</f>
        <v>-11</v>
      </c>
      <c r="BW6" s="74">
        <f t="shared" si="6"/>
        <v>-2</v>
      </c>
      <c r="BX6" s="63">
        <f t="shared" si="6"/>
        <v>-515</v>
      </c>
      <c r="BY6" s="63">
        <f t="shared" si="6"/>
        <v>50</v>
      </c>
      <c r="BZ6" s="74">
        <f t="shared" si="6"/>
        <v>-1</v>
      </c>
      <c r="CA6" s="74">
        <f t="shared" si="6"/>
        <v>-10</v>
      </c>
      <c r="CB6" s="63">
        <f t="shared" si="6"/>
        <v>-188</v>
      </c>
      <c r="CC6" s="63">
        <f t="shared" si="6"/>
        <v>-515</v>
      </c>
    </row>
    <row r="7" spans="1:81" x14ac:dyDescent="0.3">
      <c r="A7" s="118" t="s">
        <v>5</v>
      </c>
      <c r="B7" s="118">
        <f t="shared" ref="B7:Q7" si="7">B6^2</f>
        <v>1739.5572639999975</v>
      </c>
      <c r="C7" s="118">
        <f t="shared" si="7"/>
        <v>1041.1592889999961</v>
      </c>
      <c r="D7" s="63">
        <f t="shared" si="7"/>
        <v>17424</v>
      </c>
      <c r="E7" s="63">
        <f t="shared" si="7"/>
        <v>378225</v>
      </c>
      <c r="F7" s="74">
        <f t="shared" si="7"/>
        <v>17.464040999999778</v>
      </c>
      <c r="G7" s="74">
        <f t="shared" si="7"/>
        <v>157.85409599999912</v>
      </c>
      <c r="H7" s="63">
        <f t="shared" si="7"/>
        <v>10201</v>
      </c>
      <c r="I7" s="63">
        <f t="shared" si="7"/>
        <v>175561</v>
      </c>
      <c r="J7" s="74">
        <f>J6^2</f>
        <v>1174.4328999999987</v>
      </c>
      <c r="K7" s="74">
        <f>K6^2</f>
        <v>6.2250250000000227</v>
      </c>
      <c r="L7" s="63">
        <f>L6^2</f>
        <v>24336</v>
      </c>
      <c r="M7" s="63">
        <f>M6^2</f>
        <v>375769</v>
      </c>
      <c r="N7" s="74">
        <f t="shared" si="7"/>
        <v>414.73322500000035</v>
      </c>
      <c r="O7" s="74">
        <f t="shared" si="7"/>
        <v>3277.5625</v>
      </c>
      <c r="P7" s="63">
        <f t="shared" si="7"/>
        <v>12769</v>
      </c>
      <c r="Q7" s="63">
        <f t="shared" si="7"/>
        <v>245025</v>
      </c>
      <c r="R7" s="74">
        <f>R6^2</f>
        <v>16</v>
      </c>
      <c r="S7" s="74">
        <f>S6^2</f>
        <v>4</v>
      </c>
      <c r="T7" s="74">
        <f t="shared" ref="T7:Y7" si="8">T6^2</f>
        <v>2.25</v>
      </c>
      <c r="U7" s="74">
        <f t="shared" si="8"/>
        <v>16</v>
      </c>
      <c r="V7" s="74">
        <f>V6^2</f>
        <v>1</v>
      </c>
      <c r="W7" s="74">
        <f>W6^2</f>
        <v>16</v>
      </c>
      <c r="X7" s="74">
        <f t="shared" si="8"/>
        <v>308025</v>
      </c>
      <c r="Y7" s="74">
        <f t="shared" si="8"/>
        <v>1</v>
      </c>
      <c r="Z7" s="74">
        <f t="shared" ref="Z7:AW7" si="9">Z6^2</f>
        <v>25</v>
      </c>
      <c r="AA7" s="74">
        <f t="shared" si="9"/>
        <v>4</v>
      </c>
      <c r="AB7" s="63">
        <f t="shared" si="9"/>
        <v>351649</v>
      </c>
      <c r="AC7" s="63">
        <f t="shared" si="9"/>
        <v>49</v>
      </c>
      <c r="AD7" s="74">
        <f t="shared" si="9"/>
        <v>9</v>
      </c>
      <c r="AE7" s="74">
        <f t="shared" si="9"/>
        <v>64</v>
      </c>
      <c r="AF7" s="63">
        <f t="shared" si="9"/>
        <v>7056</v>
      </c>
      <c r="AG7" s="63">
        <f t="shared" si="9"/>
        <v>338724</v>
      </c>
      <c r="AH7" s="74">
        <f t="shared" si="9"/>
        <v>1393.8275560000045</v>
      </c>
      <c r="AI7" s="74">
        <f t="shared" si="9"/>
        <v>1555.2769690000009</v>
      </c>
      <c r="AJ7" s="63">
        <f t="shared" si="9"/>
        <v>5041</v>
      </c>
      <c r="AK7" s="63">
        <f t="shared" si="9"/>
        <v>261121</v>
      </c>
      <c r="AL7" s="74">
        <f t="shared" si="9"/>
        <v>121</v>
      </c>
      <c r="AM7" s="74">
        <f t="shared" si="9"/>
        <v>4</v>
      </c>
      <c r="AN7" s="63">
        <f t="shared" si="9"/>
        <v>6889</v>
      </c>
      <c r="AO7" s="63">
        <f t="shared" si="9"/>
        <v>312481</v>
      </c>
      <c r="AP7" s="74">
        <f t="shared" si="9"/>
        <v>0</v>
      </c>
      <c r="AQ7" s="74">
        <f t="shared" si="9"/>
        <v>81</v>
      </c>
      <c r="AR7" s="63">
        <f t="shared" si="9"/>
        <v>255025</v>
      </c>
      <c r="AS7" s="63">
        <f t="shared" si="9"/>
        <v>1024</v>
      </c>
      <c r="AT7" s="74">
        <f t="shared" si="9"/>
        <v>1</v>
      </c>
      <c r="AU7" s="74">
        <f t="shared" si="9"/>
        <v>100</v>
      </c>
      <c r="AV7" s="74">
        <f t="shared" si="9"/>
        <v>0</v>
      </c>
      <c r="AW7" s="74">
        <f t="shared" si="9"/>
        <v>121</v>
      </c>
      <c r="AX7" s="63">
        <f>AX6^2</f>
        <v>297025</v>
      </c>
      <c r="AY7" s="63">
        <f>AY6^2</f>
        <v>2116</v>
      </c>
      <c r="AZ7" s="74">
        <f>AZ6^2</f>
        <v>48.636676000000648</v>
      </c>
      <c r="BA7" s="74">
        <f>BA6^2</f>
        <v>63.776195999999842</v>
      </c>
      <c r="BB7" s="63">
        <f t="shared" ref="BB7:BG7" si="10">BB6^2</f>
        <v>436921</v>
      </c>
      <c r="BC7" s="63">
        <f t="shared" si="10"/>
        <v>3481</v>
      </c>
      <c r="BD7" s="74">
        <f t="shared" si="10"/>
        <v>20.205025000000042</v>
      </c>
      <c r="BE7" s="74">
        <f t="shared" si="10"/>
        <v>380.25</v>
      </c>
      <c r="BF7" s="63">
        <f t="shared" si="10"/>
        <v>358801</v>
      </c>
      <c r="BG7" s="63">
        <f t="shared" si="10"/>
        <v>2209</v>
      </c>
      <c r="BH7" s="74">
        <f t="shared" ref="BH7:BO7" si="11">BH6^2</f>
        <v>1055.665080999999</v>
      </c>
      <c r="BI7" s="74">
        <f t="shared" si="11"/>
        <v>1220.5939689999968</v>
      </c>
      <c r="BJ7" s="63">
        <f t="shared" si="11"/>
        <v>405769</v>
      </c>
      <c r="BK7" s="63">
        <f t="shared" si="11"/>
        <v>3481</v>
      </c>
      <c r="BL7" s="74">
        <f t="shared" si="11"/>
        <v>1500.2452889999959</v>
      </c>
      <c r="BM7" s="74">
        <f t="shared" si="11"/>
        <v>139.00409999999914</v>
      </c>
      <c r="BN7" s="63">
        <f t="shared" si="11"/>
        <v>374544</v>
      </c>
      <c r="BO7" s="63">
        <f t="shared" si="11"/>
        <v>2916</v>
      </c>
      <c r="BP7" s="74">
        <f t="shared" ref="BP7:BU7" si="12">BP6^2</f>
        <v>376.67046400000061</v>
      </c>
      <c r="BQ7" s="74">
        <f t="shared" si="12"/>
        <v>5.9584809999998738</v>
      </c>
      <c r="BR7" s="74">
        <f t="shared" si="12"/>
        <v>6.4821159999996709</v>
      </c>
      <c r="BS7" s="74">
        <f t="shared" si="12"/>
        <v>358.53422500000011</v>
      </c>
      <c r="BT7" s="63">
        <f t="shared" si="12"/>
        <v>247009</v>
      </c>
      <c r="BU7" s="63">
        <f t="shared" si="12"/>
        <v>841</v>
      </c>
      <c r="BV7" s="74">
        <f t="shared" ref="BV7:CC7" si="13">BV6^2</f>
        <v>121</v>
      </c>
      <c r="BW7" s="74">
        <f t="shared" si="13"/>
        <v>4</v>
      </c>
      <c r="BX7" s="63">
        <f t="shared" si="13"/>
        <v>265225</v>
      </c>
      <c r="BY7" s="63">
        <f t="shared" si="13"/>
        <v>2500</v>
      </c>
      <c r="BZ7" s="74">
        <f t="shared" si="13"/>
        <v>1</v>
      </c>
      <c r="CA7" s="74">
        <f t="shared" si="13"/>
        <v>100</v>
      </c>
      <c r="CB7" s="63">
        <f t="shared" si="13"/>
        <v>35344</v>
      </c>
      <c r="CC7" s="63">
        <f t="shared" si="13"/>
        <v>265225</v>
      </c>
    </row>
    <row r="8" spans="1:81" x14ac:dyDescent="0.3">
      <c r="A8" s="118" t="s">
        <v>6</v>
      </c>
      <c r="C8" s="118">
        <f>SQRT(SUM(B7:C7))</f>
        <v>52.732499969184033</v>
      </c>
      <c r="E8" s="63">
        <f>SQRT(SUM(D7:E7))</f>
        <v>629.00635926833047</v>
      </c>
      <c r="F8" s="74"/>
      <c r="G8" s="74">
        <f>SQRT(SUM(F7:G7))</f>
        <v>13.240775543751163</v>
      </c>
      <c r="I8" s="63">
        <f>SQRT(SUM(H7:I7))</f>
        <v>431.00116009124616</v>
      </c>
      <c r="J8" s="74"/>
      <c r="K8" s="74">
        <f>SQRT(SUM(J7:K7))</f>
        <v>34.360703208752852</v>
      </c>
      <c r="M8" s="63">
        <f>SQRT(SUM(L7:M7))</f>
        <v>632.53853637545274</v>
      </c>
      <c r="N8" s="74"/>
      <c r="O8" s="74">
        <f>SQRT(SUM(N7:O7))</f>
        <v>60.764263551860815</v>
      </c>
      <c r="Q8" s="63">
        <f>SQRT(SUM(P7:Q7))</f>
        <v>507.73418242225921</v>
      </c>
      <c r="R8" s="74"/>
      <c r="S8" s="74">
        <f>SQRT(SUM(R7:S7))</f>
        <v>4.4721359549995796</v>
      </c>
      <c r="T8" s="74"/>
      <c r="U8" s="74">
        <f>SQRT(SUM(T7:U7))</f>
        <v>4.2720018726587652</v>
      </c>
      <c r="V8" s="74"/>
      <c r="W8" s="74">
        <f>SQRT(SUM(V7:W7))</f>
        <v>4.1231056256176606</v>
      </c>
      <c r="X8" s="74"/>
      <c r="Y8" s="74">
        <f>SQRT(SUM(X7:Y7))</f>
        <v>555.00090090016965</v>
      </c>
      <c r="Z8" s="74"/>
      <c r="AA8" s="74">
        <f>SQRT(SUM(Z7:AA7))</f>
        <v>5.3851648071345037</v>
      </c>
      <c r="AB8" s="63"/>
      <c r="AC8" s="63">
        <f>SQRT(SUM(AB7:AC7))</f>
        <v>593.04131390654391</v>
      </c>
      <c r="AD8" s="74"/>
      <c r="AE8" s="74">
        <f>SQRT(SUM(AD7:AE7))</f>
        <v>8.5440037453175304</v>
      </c>
      <c r="AF8" s="63"/>
      <c r="AG8" s="63">
        <f>SQRT(SUM(AF7:AG7))</f>
        <v>588.03061144807759</v>
      </c>
      <c r="AH8" s="74"/>
      <c r="AI8" s="74">
        <f>SQRT(SUM(AH7:AI7))</f>
        <v>54.305658314765004</v>
      </c>
      <c r="AJ8" s="63"/>
      <c r="AK8" s="63">
        <f>SQRT(SUM(AJ7:AK7))</f>
        <v>515.90890668799273</v>
      </c>
      <c r="AL8" s="74"/>
      <c r="AM8" s="74">
        <f>SQRT(SUM(AL7:AM7))</f>
        <v>11.180339887498949</v>
      </c>
      <c r="AN8" s="63"/>
      <c r="AO8" s="63">
        <f>SQRT(SUM(AN7:AO7))</f>
        <v>565.12830401599956</v>
      </c>
      <c r="AP8" s="74"/>
      <c r="AQ8" s="74">
        <f>SQRT(SUM(AP7:AQ7))</f>
        <v>9</v>
      </c>
      <c r="AR8" s="63"/>
      <c r="AS8" s="63">
        <f>SQRT(SUM(AR7:AS7))</f>
        <v>506.01284568674737</v>
      </c>
      <c r="AT8" s="74"/>
      <c r="AU8" s="74">
        <f>SQRT(SUM(AT7:AU7))</f>
        <v>10.04987562112089</v>
      </c>
      <c r="AV8" s="74"/>
      <c r="AW8" s="74">
        <f>SQRT(SUM(AV7:AW7))</f>
        <v>11</v>
      </c>
      <c r="AX8" s="63"/>
      <c r="AY8" s="63">
        <f>SQRT(SUM(AX7:AY7))</f>
        <v>546.93783924683794</v>
      </c>
      <c r="AZ8" s="74"/>
      <c r="BA8" s="74">
        <f>SQRT(SUM(AZ7:BA7))</f>
        <v>10.602493668944136</v>
      </c>
      <c r="BB8" s="63"/>
      <c r="BC8" s="63">
        <f>SQRT(SUM(BB7:BC7))</f>
        <v>663.62790779170825</v>
      </c>
      <c r="BD8" s="74"/>
      <c r="BE8" s="74">
        <f>SQRT(SUM(BD7:BE7))</f>
        <v>20.011372391717668</v>
      </c>
      <c r="BF8" s="63"/>
      <c r="BG8" s="63">
        <f>SQRT(SUM(BF7:BG7))</f>
        <v>600.84107715767902</v>
      </c>
      <c r="BH8" s="74"/>
      <c r="BI8" s="74">
        <f>SQRT(SUM(BH7:BI7))</f>
        <v>47.710156675492023</v>
      </c>
      <c r="BJ8" s="63"/>
      <c r="BK8" s="63">
        <f>SQRT(SUM(BJ7:BK7))</f>
        <v>639.72650406247828</v>
      </c>
      <c r="BL8" s="74"/>
      <c r="BM8" s="74">
        <f>SQRT(SUM(BL7:BM7))</f>
        <v>40.487644893226317</v>
      </c>
      <c r="BN8" s="63"/>
      <c r="BO8" s="63">
        <f>SQRT(SUM(BN7:BO7))</f>
        <v>614.37773397153649</v>
      </c>
      <c r="BP8" s="74"/>
      <c r="BQ8" s="74">
        <f>SQRT(SUM(BP7:BQ7))</f>
        <v>19.560903481178993</v>
      </c>
      <c r="BR8" s="74"/>
      <c r="BS8" s="74">
        <f>SQRT(SUM(BR7:BS7))</f>
        <v>19.105400833272245</v>
      </c>
      <c r="BT8" s="63"/>
      <c r="BU8" s="63">
        <f>SQRT(SUM(BT7:BU7))</f>
        <v>497.84535751576516</v>
      </c>
      <c r="BV8" s="74"/>
      <c r="BW8" s="74">
        <f>SQRT(SUM(BV7:BW7))</f>
        <v>11.180339887498949</v>
      </c>
      <c r="BX8" s="63"/>
      <c r="BY8" s="63">
        <f>SQRT(SUM(BX7:BY7))</f>
        <v>517.42149162940655</v>
      </c>
      <c r="BZ8" s="74"/>
      <c r="CA8" s="74">
        <f>SQRT(SUM(BZ7:CA7))</f>
        <v>10.04987562112089</v>
      </c>
      <c r="CB8" s="63"/>
      <c r="CC8" s="63">
        <f>SQRT(SUM(CB7:CC7))</f>
        <v>548.24173500382108</v>
      </c>
    </row>
    <row r="9" spans="1:81" x14ac:dyDescent="0.3">
      <c r="A9" s="118" t="s">
        <v>7</v>
      </c>
      <c r="C9" s="118">
        <f>MOD(ATAN2(C6,B6)*180/PI()+270,360)</f>
        <v>142.27301049384039</v>
      </c>
      <c r="E9" s="63">
        <f>MOD(ATAN2(E6,D6)*180/PI()+270,360)</f>
        <v>102.11384294556433</v>
      </c>
      <c r="F9" s="74"/>
      <c r="G9" s="74">
        <f>MOD(ATAN2(G6,F6)*180/PI()+270,360)</f>
        <v>251.60199765154564</v>
      </c>
      <c r="I9" s="63">
        <f>MOD(ATAN2(I6,H6)*180/PI()+270,360)</f>
        <v>103.55261022038789</v>
      </c>
      <c r="J9" s="74"/>
      <c r="K9" s="74">
        <f>MOD(ATAN2(K6,J6)*180/PI()+270,360)</f>
        <v>4.1640267968148805</v>
      </c>
      <c r="M9" s="63">
        <f>MOD(ATAN2(M6,L6)*180/PI()+270,360)</f>
        <v>104.2779036816265</v>
      </c>
      <c r="N9" s="74"/>
      <c r="O9" s="74">
        <f>MOD(ATAN2(O6,N6)*180/PI()+270,360)</f>
        <v>70.418483421501719</v>
      </c>
      <c r="Q9" s="63">
        <f>MOD(ATAN2(Q6,P6)*180/PI()+270,360)</f>
        <v>102.85928600251219</v>
      </c>
      <c r="R9" s="74"/>
      <c r="S9" s="74">
        <f>MOD(ATAN2(S6,R6)*180/PI()+270,360)</f>
        <v>333.43494882292202</v>
      </c>
      <c r="T9" s="74"/>
      <c r="U9" s="74">
        <f>MOD(ATAN2(U6,T6)*180/PI()+270,360)</f>
        <v>69.443954780416561</v>
      </c>
      <c r="V9" s="74"/>
      <c r="W9" s="74">
        <f>MOD(ATAN2(W6,V6)*180/PI()+270,360)</f>
        <v>75.963756532073489</v>
      </c>
      <c r="X9" s="74"/>
      <c r="Y9" s="74">
        <f>MOD(ATAN2(Y6,X6)*180/PI()+270,360)</f>
        <v>180.10323552704472</v>
      </c>
      <c r="Z9" s="74"/>
      <c r="AA9" s="74">
        <f>MOD(ATAN2(AA6,Z6)*180/PI()+270,360)</f>
        <v>21.801409486351815</v>
      </c>
      <c r="AB9" s="63"/>
      <c r="AC9" s="63">
        <f>MOD(ATAN2(AC6,AB6)*180/PI()+270,360)</f>
        <v>179.323690001187</v>
      </c>
      <c r="AD9" s="74"/>
      <c r="AE9" s="74">
        <f>MOD(ATAN2(AE6,AD6)*180/PI()+270,360)</f>
        <v>110.55604521958347</v>
      </c>
      <c r="AF9" s="63"/>
      <c r="AG9" s="63">
        <f>MOD(ATAN2(AG6,AF6)*180/PI()+270,360)</f>
        <v>98.212780189285866</v>
      </c>
      <c r="AH9" s="74"/>
      <c r="AI9" s="74">
        <f>MOD(ATAN2(AI6,AH6)*180/PI()+270,360)</f>
        <v>133.4308801610197</v>
      </c>
      <c r="AJ9" s="63"/>
      <c r="AK9" s="63">
        <f>MOD(ATAN2(AK6,AJ6)*180/PI()+270,360)</f>
        <v>97.910218314896952</v>
      </c>
      <c r="AL9" s="74"/>
      <c r="AM9" s="74">
        <f>MOD(ATAN2(AM6,AL6)*180/PI()+270,360)</f>
        <v>10.304846468766016</v>
      </c>
      <c r="AN9" s="63"/>
      <c r="AO9" s="63">
        <f>MOD(ATAN2(AO6,AN6)*180/PI()+270,360)</f>
        <v>98.445541396685314</v>
      </c>
      <c r="AP9" s="74"/>
      <c r="AQ9" s="74">
        <f>MOD(ATAN2(AQ6,AP6)*180/PI()+270,360)</f>
        <v>90</v>
      </c>
      <c r="AR9" s="63"/>
      <c r="AS9" s="63">
        <f>MOD(ATAN2(AS6,AR6)*180/PI()+270,360)</f>
        <v>183.62577598705874</v>
      </c>
      <c r="AT9" s="74"/>
      <c r="AU9" s="74">
        <f>MOD(ATAN2(AU6,AT6)*180/PI()+270,360)</f>
        <v>84.289406862500357</v>
      </c>
      <c r="AV9" s="74"/>
      <c r="AW9" s="74">
        <f>MOD(ATAN2(AW6,AV6)*180/PI()+270,360)</f>
        <v>90</v>
      </c>
      <c r="AX9" s="63"/>
      <c r="AY9" s="63">
        <f>MOD(ATAN2(AY6,AX6)*180/PI()+270,360)</f>
        <v>184.82453909515459</v>
      </c>
      <c r="AZ9" s="74"/>
      <c r="BA9" s="74">
        <f>MOD(ATAN2(BA6,AZ6)*180/PI()+270,360)</f>
        <v>311.13000503949422</v>
      </c>
      <c r="BB9" s="63"/>
      <c r="BC9" s="63">
        <f>MOD(ATAN2(BC6,BB6)*180/PI()+270,360)</f>
        <v>185.10062962534471</v>
      </c>
      <c r="BD9" s="74"/>
      <c r="BE9" s="74">
        <f>MOD(ATAN2(BE6,BD6)*180/PI()+270,360)</f>
        <v>282.98066759778663</v>
      </c>
      <c r="BF9" s="63"/>
      <c r="BG9" s="63">
        <f>MOD(ATAN2(BG6,BF6)*180/PI()+270,360)</f>
        <v>184.4864700749867</v>
      </c>
      <c r="BH9" s="74"/>
      <c r="BI9" s="74">
        <f>MOD(ATAN2(BI6,BH6)*180/PI()+270,360)</f>
        <v>47.07753531713206</v>
      </c>
      <c r="BJ9" s="63"/>
      <c r="BK9" s="63">
        <f>MOD(ATAN2(BK6,BJ6)*180/PI()+270,360)</f>
        <v>185.2917327137302</v>
      </c>
      <c r="BL9" s="74"/>
      <c r="BM9" s="74">
        <f>MOD(ATAN2(BM6,BL6)*180/PI()+270,360)</f>
        <v>16.929808688403909</v>
      </c>
      <c r="BN9" s="63"/>
      <c r="BO9" s="63">
        <f>MOD(ATAN2(BO6,BN6)*180/PI()+270,360)</f>
        <v>185.04245106917091</v>
      </c>
      <c r="BP9" s="74"/>
      <c r="BQ9" s="74">
        <f>MOD(ATAN2(BQ6,BP6)*180/PI()+270,360)</f>
        <v>352.83138647780243</v>
      </c>
      <c r="BR9" s="74"/>
      <c r="BS9" s="74">
        <f>MOD(ATAN2(BS6,BR6)*180/PI()+270,360)</f>
        <v>262.34194063733969</v>
      </c>
      <c r="BT9" s="63"/>
      <c r="BU9" s="63">
        <f>MOD(ATAN2(BU6,BT6)*180/PI()+270,360)</f>
        <v>183.33942797871092</v>
      </c>
      <c r="BV9" s="74"/>
      <c r="BW9" s="74">
        <f>MOD(ATAN2(BW6,BV6)*180/PI()+270,360)</f>
        <v>169.69515353123398</v>
      </c>
      <c r="BX9" s="63"/>
      <c r="BY9" s="63">
        <f>MOD(ATAN2(BY6,BX6)*180/PI()+270,360)</f>
        <v>185.54531730886202</v>
      </c>
      <c r="BZ9" s="74"/>
      <c r="CA9" s="74">
        <f>MOD(ATAN2(CA6,BZ6)*180/PI()+270,360)</f>
        <v>95.710593137499643</v>
      </c>
      <c r="CB9" s="63"/>
      <c r="CC9" s="63">
        <f>MOD(ATAN2(CC6,CB6)*180/PI()+270,360)</f>
        <v>110.05453647337819</v>
      </c>
    </row>
    <row r="10" spans="1:81" s="248" customFormat="1" ht="117" customHeight="1" x14ac:dyDescent="0.3">
      <c r="A10" s="250" t="s">
        <v>40</v>
      </c>
      <c r="B10" s="384"/>
      <c r="C10" s="384"/>
      <c r="D10" s="385"/>
      <c r="E10" s="385"/>
      <c r="F10" s="384"/>
      <c r="G10" s="384"/>
      <c r="H10" s="382"/>
      <c r="I10" s="382"/>
      <c r="J10" s="384"/>
      <c r="K10" s="384"/>
      <c r="L10" s="385"/>
      <c r="M10" s="385"/>
      <c r="N10" s="384"/>
      <c r="O10" s="384"/>
      <c r="P10" s="382"/>
      <c r="Q10" s="382"/>
      <c r="R10" s="384" t="s">
        <v>328</v>
      </c>
      <c r="S10" s="384"/>
      <c r="T10" s="384" t="s">
        <v>328</v>
      </c>
      <c r="U10" s="384"/>
      <c r="V10" s="384" t="s">
        <v>328</v>
      </c>
      <c r="W10" s="384"/>
      <c r="X10" s="384"/>
      <c r="Y10" s="384"/>
      <c r="Z10" s="426" t="s">
        <v>338</v>
      </c>
      <c r="AA10" s="426"/>
      <c r="AB10" s="382"/>
      <c r="AC10" s="382"/>
      <c r="AD10" s="426" t="s">
        <v>338</v>
      </c>
      <c r="AE10" s="426"/>
      <c r="AH10" s="425" t="s">
        <v>330</v>
      </c>
      <c r="AI10" s="425"/>
      <c r="AL10" s="425" t="s">
        <v>331</v>
      </c>
      <c r="AM10" s="425"/>
      <c r="AP10" s="425" t="s">
        <v>332</v>
      </c>
      <c r="AQ10" s="425"/>
      <c r="AT10" s="425" t="s">
        <v>335</v>
      </c>
      <c r="AU10" s="425"/>
      <c r="AV10" s="425" t="s">
        <v>337</v>
      </c>
      <c r="AW10" s="425"/>
      <c r="BL10" s="74"/>
      <c r="BM10" s="74">
        <f>MOD(ATAN2(BM7,BL7)*180/PI()+270,360)</f>
        <v>354.70641621338893</v>
      </c>
      <c r="BV10" s="425" t="s">
        <v>327</v>
      </c>
      <c r="BW10" s="425"/>
      <c r="BZ10" s="425" t="s">
        <v>327</v>
      </c>
      <c r="CA10" s="425"/>
    </row>
    <row r="11" spans="1:81" s="127" customFormat="1" x14ac:dyDescent="0.3">
      <c r="A11" s="120" t="s">
        <v>37</v>
      </c>
      <c r="B11" s="120"/>
      <c r="C11" s="120"/>
      <c r="D11" s="67"/>
      <c r="E11" s="67"/>
      <c r="F11" s="120"/>
      <c r="G11" s="120"/>
      <c r="H11" s="67"/>
      <c r="I11" s="67"/>
      <c r="J11" s="120"/>
      <c r="K11" s="120"/>
      <c r="L11" s="67"/>
      <c r="M11" s="67"/>
      <c r="N11" s="120"/>
      <c r="O11" s="120"/>
      <c r="P11" s="67"/>
      <c r="Q11" s="67"/>
      <c r="R11" s="120"/>
      <c r="S11" s="120"/>
      <c r="T11" s="67"/>
      <c r="U11" s="67"/>
      <c r="V11" s="67"/>
      <c r="W11" s="67"/>
      <c r="X11" s="120"/>
      <c r="Y11" s="120"/>
      <c r="Z11" s="67"/>
      <c r="AA11" s="67"/>
      <c r="AB11" s="67"/>
      <c r="AC11" s="67"/>
      <c r="AD11" s="67"/>
      <c r="AE11" s="67"/>
    </row>
    <row r="12" spans="1:81" s="122" customFormat="1" x14ac:dyDescent="0.3">
      <c r="B12" s="122" t="s">
        <v>62</v>
      </c>
      <c r="C12" s="122" t="s">
        <v>63</v>
      </c>
      <c r="D12" s="69"/>
      <c r="E12" s="69"/>
      <c r="F12" s="122" t="s">
        <v>62</v>
      </c>
      <c r="G12" s="122" t="s">
        <v>63</v>
      </c>
      <c r="H12" s="69"/>
      <c r="I12" s="69"/>
      <c r="J12" s="122" t="s">
        <v>62</v>
      </c>
      <c r="K12" s="122" t="s">
        <v>63</v>
      </c>
      <c r="L12" s="69"/>
      <c r="M12" s="69"/>
      <c r="N12" s="122" t="s">
        <v>62</v>
      </c>
      <c r="O12" s="122" t="s">
        <v>63</v>
      </c>
      <c r="P12" s="69"/>
      <c r="Q12" s="69"/>
      <c r="R12" s="122" t="s">
        <v>62</v>
      </c>
      <c r="S12" s="122" t="s">
        <v>63</v>
      </c>
      <c r="T12" s="69"/>
      <c r="U12" s="69"/>
      <c r="V12" s="69"/>
      <c r="W12" s="69"/>
      <c r="X12" s="122" t="s">
        <v>62</v>
      </c>
      <c r="Y12" s="122" t="s">
        <v>63</v>
      </c>
      <c r="Z12" s="69"/>
      <c r="AA12" s="69"/>
      <c r="AB12" s="69"/>
      <c r="AC12" s="69"/>
      <c r="AD12" s="69"/>
      <c r="AE12" s="69"/>
    </row>
    <row r="13" spans="1:81" x14ac:dyDescent="0.3">
      <c r="A13" s="118" t="s">
        <v>18</v>
      </c>
      <c r="AB13" s="63"/>
      <c r="AC13" s="63"/>
      <c r="AD13" s="63"/>
      <c r="AE13" s="63"/>
    </row>
    <row r="14" spans="1:81" x14ac:dyDescent="0.3">
      <c r="A14" s="118" t="s">
        <v>17</v>
      </c>
      <c r="AB14" s="63"/>
      <c r="AC14" s="63"/>
      <c r="AD14" s="63"/>
      <c r="AE14" s="63"/>
    </row>
    <row r="15" spans="1:81" x14ac:dyDescent="0.3">
      <c r="A15" s="118" t="s">
        <v>14</v>
      </c>
      <c r="AB15" s="63"/>
      <c r="AC15" s="63"/>
      <c r="AD15" s="63"/>
      <c r="AE15" s="63"/>
    </row>
    <row r="16" spans="1:81" x14ac:dyDescent="0.3">
      <c r="A16" s="118" t="s">
        <v>13</v>
      </c>
      <c r="C16" s="118">
        <v>6.069</v>
      </c>
      <c r="E16" s="111">
        <f>5*15.0412*COS((19+6/60+3/3600)*PI()/180)</f>
        <v>71.065469960452432</v>
      </c>
      <c r="F16" s="123"/>
      <c r="G16" s="118">
        <v>1.657</v>
      </c>
      <c r="I16" s="111">
        <f>5*15.0412*COS((47+39/60+16/3600)*PI()/180)</f>
        <v>50.658789974170141</v>
      </c>
      <c r="K16" s="118">
        <v>3.988</v>
      </c>
      <c r="M16" s="111">
        <f>5*15.0412*COS((10+32/60+0/3600)*PI()/180)</f>
        <v>73.938682699546632</v>
      </c>
      <c r="N16" s="123"/>
      <c r="O16" s="118">
        <v>7.1849999999999996</v>
      </c>
      <c r="Q16" s="111">
        <f>5*15.0412*COS((33+51/60+30/3600)*PI()/180)</f>
        <v>62.452391235335156</v>
      </c>
      <c r="S16" s="118">
        <v>0.57799999999999996</v>
      </c>
      <c r="U16" s="118">
        <v>0.57799999999999996</v>
      </c>
      <c r="W16" s="118">
        <v>0.57799999999999996</v>
      </c>
      <c r="X16" s="123"/>
      <c r="Y16" s="111">
        <f>5*15.0412*COS((30+17/60+14/3600)*PI()/180)</f>
        <v>64.940986107977551</v>
      </c>
      <c r="AA16" s="90">
        <v>0.7</v>
      </c>
      <c r="AB16" s="63"/>
      <c r="AC16" s="111">
        <f>5*15.0412*COS((26+18/60+0/3600)*PI()/180)</f>
        <v>67.421158483417031</v>
      </c>
      <c r="AD16" s="63"/>
      <c r="AE16" s="90">
        <v>0.7</v>
      </c>
      <c r="AF16" s="63"/>
      <c r="AG16" s="111">
        <f>5*15.0412*COS((26+18/60+0/3600)*PI()/180)</f>
        <v>67.421158483417031</v>
      </c>
      <c r="AI16" s="118">
        <v>6.3</v>
      </c>
      <c r="AJ16" s="63"/>
      <c r="AK16" s="255">
        <f>5*15.0412*COS((36+38/60+0/3600)*PI()/180)</f>
        <v>60.350594150024818</v>
      </c>
      <c r="AM16" s="118">
        <v>1.1160000000000001</v>
      </c>
      <c r="AN16" s="63"/>
      <c r="AO16" s="255">
        <f>5*15.0412*COS((31+36/60+0/3600)*PI()/180)</f>
        <v>64.054975809162045</v>
      </c>
      <c r="AQ16" s="118">
        <v>1.1160000000000001</v>
      </c>
      <c r="AR16" s="63"/>
      <c r="AS16" s="255">
        <f>5*15.0412*COS((31+36/60+0/3600)*PI()/180)</f>
        <v>64.054975809162045</v>
      </c>
      <c r="AU16" s="118">
        <v>1.1160000000000001</v>
      </c>
      <c r="AW16" s="118">
        <v>1.1160000000000001</v>
      </c>
      <c r="AX16" s="63"/>
      <c r="AY16" s="255">
        <f>5*15.0412*COS((31+36/60+0/3600)*PI()/180)</f>
        <v>64.054975809162045</v>
      </c>
      <c r="BA16" s="118">
        <v>1.448</v>
      </c>
      <c r="BB16" s="63"/>
      <c r="BC16" s="111">
        <f>5*15.0412*COS((2+29/60+48/3600)*PI()/180)</f>
        <v>75.134611273376152</v>
      </c>
      <c r="BE16" s="118">
        <v>2.3519999999999999</v>
      </c>
      <c r="BF16" s="63"/>
      <c r="BG16" s="111">
        <f>8*15.0412*COS((54+28/48+14/3600)*PI()/180)</f>
        <v>69.726544156254164</v>
      </c>
      <c r="BI16" s="118">
        <v>5.6520000000000001</v>
      </c>
      <c r="BJ16" s="63"/>
      <c r="BK16" s="111">
        <f>5*15.0412*COS((2+29/60+48/3600)*PI()/180)</f>
        <v>75.134611273376152</v>
      </c>
      <c r="BM16" s="118">
        <v>4.6449999999999996</v>
      </c>
      <c r="BN16" s="63"/>
      <c r="BO16" s="111">
        <f>5*15.0412*COS((14+23/60+25/3600)*PI()/180)</f>
        <v>72.84643777692655</v>
      </c>
      <c r="BQ16" s="118">
        <v>2.3679999999999999</v>
      </c>
      <c r="BS16" s="118">
        <v>2.3420000000000001</v>
      </c>
      <c r="BT16" s="63"/>
      <c r="BU16" s="111">
        <f>5*15.0412*COS((39+40/60+12/3600)*PI()/180)</f>
        <v>57.88860825580263</v>
      </c>
      <c r="BW16" s="118">
        <v>1.0309999999999999</v>
      </c>
      <c r="BX16" s="63"/>
      <c r="BY16" s="111">
        <f>5*15.0412*COS((32+54/60+3/3600)*PI()/180)</f>
        <v>63.143857386654716</v>
      </c>
      <c r="CA16" s="118">
        <v>1.0309999999999999</v>
      </c>
      <c r="CB16" s="63"/>
      <c r="CC16" s="111">
        <f>5*15.0412*COS((32+54/60+3/3600)*PI()/180)</f>
        <v>63.143857386654716</v>
      </c>
    </row>
    <row r="17" spans="1:81" x14ac:dyDescent="0.3">
      <c r="A17" s="118" t="s">
        <v>7</v>
      </c>
      <c r="C17" s="118">
        <v>308.93</v>
      </c>
      <c r="E17" s="63">
        <v>-90</v>
      </c>
      <c r="F17" s="123"/>
      <c r="G17" s="118">
        <v>59.23</v>
      </c>
      <c r="I17" s="63">
        <v>-90</v>
      </c>
      <c r="K17" s="141">
        <v>172.7</v>
      </c>
      <c r="M17" s="63">
        <v>-90</v>
      </c>
      <c r="N17" s="123"/>
      <c r="O17" s="118">
        <v>237.41</v>
      </c>
      <c r="Q17" s="63">
        <v>-90</v>
      </c>
      <c r="S17" s="118">
        <v>163.1</v>
      </c>
      <c r="U17" s="118">
        <v>163.1</v>
      </c>
      <c r="W17" s="118">
        <v>163.1</v>
      </c>
      <c r="X17" s="123"/>
      <c r="Y17" s="63">
        <v>-90</v>
      </c>
      <c r="AA17" s="93">
        <v>112.1</v>
      </c>
      <c r="AB17" s="63"/>
      <c r="AC17" s="63">
        <v>-90</v>
      </c>
      <c r="AD17" s="63"/>
      <c r="AE17" s="93">
        <v>112.1</v>
      </c>
      <c r="AF17" s="63"/>
      <c r="AG17" s="63">
        <v>-90</v>
      </c>
      <c r="AI17" s="118">
        <v>305</v>
      </c>
      <c r="AJ17" s="63"/>
      <c r="AK17" s="63">
        <v>-90</v>
      </c>
      <c r="AM17" s="118">
        <v>182.39</v>
      </c>
      <c r="AN17" s="63"/>
      <c r="AO17" s="63">
        <v>-90</v>
      </c>
      <c r="AQ17" s="118">
        <v>182.39</v>
      </c>
      <c r="AR17" s="63"/>
      <c r="AS17" s="63">
        <v>-90</v>
      </c>
      <c r="AU17" s="118">
        <v>182.39</v>
      </c>
      <c r="AW17" s="118">
        <v>182.39</v>
      </c>
      <c r="AX17" s="63"/>
      <c r="AY17" s="63">
        <v>-90</v>
      </c>
      <c r="BA17" s="118">
        <v>36.68</v>
      </c>
      <c r="BB17" s="63"/>
      <c r="BC17" s="63">
        <v>-90</v>
      </c>
      <c r="BE17" s="118">
        <v>6.68</v>
      </c>
      <c r="BF17" s="63"/>
      <c r="BG17" s="63">
        <v>-90</v>
      </c>
      <c r="BI17" s="141">
        <v>132.19</v>
      </c>
      <c r="BJ17" s="63"/>
      <c r="BK17" s="63">
        <v>-90</v>
      </c>
      <c r="BM17" s="141">
        <v>103.6</v>
      </c>
      <c r="BN17" s="63"/>
      <c r="BO17" s="63">
        <v>-90</v>
      </c>
      <c r="BQ17" s="118">
        <v>78.42</v>
      </c>
      <c r="BS17" s="118">
        <v>347.76</v>
      </c>
      <c r="BT17" s="63"/>
      <c r="BU17" s="63">
        <v>-90</v>
      </c>
      <c r="BW17" s="118">
        <v>258.51</v>
      </c>
      <c r="BX17" s="63"/>
      <c r="BY17" s="63">
        <v>-90</v>
      </c>
      <c r="CA17" s="118">
        <v>258.51</v>
      </c>
      <c r="CB17" s="63"/>
      <c r="CC17" s="63">
        <v>-90</v>
      </c>
    </row>
    <row r="18" spans="1:81" x14ac:dyDescent="0.3">
      <c r="A18" s="118" t="s">
        <v>32</v>
      </c>
      <c r="B18" s="72">
        <f>-C16*SIN((C17)/180*PI())</f>
        <v>4.721161529679252</v>
      </c>
      <c r="C18" s="72">
        <f>C16*COS((C17)/180*PI())</f>
        <v>3.8135803139145583</v>
      </c>
      <c r="D18" s="72">
        <f>-E16*SIN((E17)/180*PI())</f>
        <v>71.065469960452432</v>
      </c>
      <c r="E18" s="72">
        <f>E16*COS((E17)/180*PI())</f>
        <v>4.3532875359701623E-15</v>
      </c>
      <c r="F18" s="72">
        <f>-G16*SIN((G17)/180*PI())</f>
        <v>-1.423740604104736</v>
      </c>
      <c r="G18" s="72">
        <f>G16*COS((G17)/180*PI())</f>
        <v>0.84770967448972834</v>
      </c>
      <c r="H18" s="72">
        <f>-I16*SIN((I17)/180*PI())</f>
        <v>50.658789974170141</v>
      </c>
      <c r="I18" s="72">
        <f>I16*COS((I17)/180*PI())</f>
        <v>3.103226913219742E-15</v>
      </c>
      <c r="J18" s="72">
        <f>-K16*SIN((K17)/180*PI())</f>
        <v>-0.50673365910218637</v>
      </c>
      <c r="K18" s="72">
        <f>K16*COS((K17)/180*PI())</f>
        <v>-3.9556750370490379</v>
      </c>
      <c r="L18" s="72">
        <f>-M16*SIN((M17)/180*PI())</f>
        <v>73.938682699546632</v>
      </c>
      <c r="M18" s="72">
        <f>M16*COS((M17)/180*PI())</f>
        <v>4.5292931433664135E-15</v>
      </c>
      <c r="N18" s="72">
        <f>-O16*SIN((O17)/180*PI())</f>
        <v>6.0536960091375915</v>
      </c>
      <c r="O18" s="72">
        <f>O16*COS((O17)/180*PI())</f>
        <v>-3.8700115799505812</v>
      </c>
      <c r="P18" s="72">
        <f>-Q16*SIN((Q17)/180*PI())</f>
        <v>62.452391235335156</v>
      </c>
      <c r="Q18" s="72">
        <f>Q16*COS((Q17)/180*PI())</f>
        <v>3.8256725313659758E-15</v>
      </c>
      <c r="R18" s="72">
        <f>-S16*SIN((S17)/180*PI())</f>
        <v>-0.1680258678997899</v>
      </c>
      <c r="S18" s="72">
        <f>S16*COS((S17)/180*PI())</f>
        <v>-0.55303825158529707</v>
      </c>
      <c r="T18" s="72">
        <f>-U16*SIN((U17)/180*PI())</f>
        <v>-0.1680258678997899</v>
      </c>
      <c r="U18" s="72">
        <f>U16*COS((U17)/180*PI())</f>
        <v>-0.55303825158529707</v>
      </c>
      <c r="V18" s="72">
        <f>-W16*SIN((W17)/180*PI())</f>
        <v>-0.1680258678997899</v>
      </c>
      <c r="W18" s="72">
        <f>W16*COS((W17)/180*PI())</f>
        <v>-0.55303825158529707</v>
      </c>
      <c r="X18" s="72">
        <f>-Y16*SIN((Y17)/180*PI())</f>
        <v>64.940986107977551</v>
      </c>
      <c r="Y18" s="72">
        <f>Y16*COS((Y17)/180*PI())</f>
        <v>3.978117439521543E-15</v>
      </c>
      <c r="Z18" s="72">
        <f>-AA16*SIN((AA17)/180*PI())</f>
        <v>-0.64857004161028609</v>
      </c>
      <c r="AA18" s="72">
        <f>AA16*COS((AA17)/180*PI())</f>
        <v>-0.26335698419755582</v>
      </c>
      <c r="AB18" s="72">
        <f>-AC16*SIN((AC17)/180*PI())</f>
        <v>67.421158483417031</v>
      </c>
      <c r="AC18" s="72">
        <f>AC16*COS((AC17)/180*PI())</f>
        <v>4.130046407205379E-15</v>
      </c>
      <c r="AD18" s="72">
        <f>-AE16*SIN((AE17)/180*PI())</f>
        <v>-0.64857004161028609</v>
      </c>
      <c r="AE18" s="72">
        <f>AE16*COS((AE17)/180*PI())</f>
        <v>-0.26335698419755582</v>
      </c>
      <c r="AF18" s="72">
        <f>-AG16*SIN((AG17)/180*PI())</f>
        <v>67.421158483417031</v>
      </c>
      <c r="AG18" s="72">
        <f>AG16*COS((AG17)/180*PI())</f>
        <v>4.130046407205379E-15</v>
      </c>
      <c r="AH18" s="72">
        <f>-AI16*SIN((AI17)/180*PI())</f>
        <v>5.1606578790206479</v>
      </c>
      <c r="AI18" s="72">
        <f>AI16*COS((AI17)/180*PI())</f>
        <v>3.61353154901159</v>
      </c>
      <c r="AJ18" s="72">
        <f>-AK16*SIN((AK17)/180*PI())</f>
        <v>60.350594150024818</v>
      </c>
      <c r="AK18" s="72">
        <f>AK16*COS((AK17)/180*PI())</f>
        <v>3.6969218587860052E-15</v>
      </c>
      <c r="AL18" s="72">
        <f>-AM16*SIN((AM17)/180*PI())</f>
        <v>4.6538620960515968E-2</v>
      </c>
      <c r="AM18" s="72">
        <f>AM16*COS((AM17)/180*PI())</f>
        <v>-1.1150292178948018</v>
      </c>
      <c r="AN18" s="72">
        <f>-AO16*SIN((AO17)/180*PI())</f>
        <v>64.054975809162045</v>
      </c>
      <c r="AO18" s="72">
        <f>AO16*COS((AO17)/180*PI())</f>
        <v>3.9238427320901956E-15</v>
      </c>
      <c r="AP18" s="72">
        <f>-AQ16*SIN((AQ17)/180*PI())</f>
        <v>4.6538620960515968E-2</v>
      </c>
      <c r="AQ18" s="72">
        <f>AQ16*COS((AQ17)/180*PI())</f>
        <v>-1.1150292178948018</v>
      </c>
      <c r="AR18" s="72">
        <f>-AS16*SIN((AS17)/180*PI())</f>
        <v>64.054975809162045</v>
      </c>
      <c r="AS18" s="72">
        <f>AS16*COS((AS17)/180*PI())</f>
        <v>3.9238427320901956E-15</v>
      </c>
      <c r="AT18" s="72">
        <f>-AU16*SIN((AU17)/180*PI())</f>
        <v>4.6538620960515968E-2</v>
      </c>
      <c r="AU18" s="72">
        <f>AU16*COS((AU17)/180*PI())</f>
        <v>-1.1150292178948018</v>
      </c>
      <c r="AV18" s="72">
        <f>-AW16*SIN((AW17)/180*PI())</f>
        <v>4.6538620960515968E-2</v>
      </c>
      <c r="AW18" s="72">
        <f>AW16*COS((AW17)/180*PI())</f>
        <v>-1.1150292178948018</v>
      </c>
      <c r="AX18" s="72">
        <f>-AY16*SIN((AY17)/180*PI())</f>
        <v>64.054975809162045</v>
      </c>
      <c r="AY18" s="72">
        <f>AY16*COS((AY17)/180*PI())</f>
        <v>3.9238427320901956E-15</v>
      </c>
      <c r="AZ18" s="72">
        <f>-BA16*SIN((BA17)/180*PI())</f>
        <v>-0.86495590473218287</v>
      </c>
      <c r="BA18" s="72">
        <f>BA16*COS((BA17)/180*PI())</f>
        <v>1.1612731301760715</v>
      </c>
      <c r="BB18" s="72">
        <f>-BC16*SIN((BC17)/180*PI())</f>
        <v>75.134611273376152</v>
      </c>
      <c r="BC18" s="72">
        <f>BC16*COS((BC17)/180*PI())</f>
        <v>4.602552645586829E-15</v>
      </c>
      <c r="BF18" s="72">
        <f>-BG16*SIN((BG17)/180*PI())</f>
        <v>69.726544156254164</v>
      </c>
      <c r="BG18" s="72">
        <f>BG16*COS((BG17)/180*PI())</f>
        <v>4.271268391957623E-15</v>
      </c>
      <c r="BH18" s="72">
        <f>-BI16*SIN((BI17)/180*PI())</f>
        <v>-4.1876901399924371</v>
      </c>
      <c r="BI18" s="72">
        <f>BI16*COS((BI17)/180*PI())</f>
        <v>-3.7958339388611462</v>
      </c>
      <c r="BJ18" s="72">
        <f>-BK16*SIN((BK17)/180*PI())</f>
        <v>75.134611273376152</v>
      </c>
      <c r="BK18" s="72">
        <f>BK16*COS((BK17)/180*PI())</f>
        <v>4.602552645586829E-15</v>
      </c>
      <c r="BL18" s="72">
        <f>-BM16*SIN((BM17)/180*PI())</f>
        <v>-4.5147588476873475</v>
      </c>
      <c r="BM18" s="72">
        <f>BM16*COS((BM17)/180*PI())</f>
        <v>-1.0922351153615297</v>
      </c>
      <c r="BN18" s="72">
        <f>-BO16*SIN((BO17)/180*PI())</f>
        <v>72.84643777692655</v>
      </c>
      <c r="BO18" s="72">
        <f>BO16*COS((BO17)/180*PI())</f>
        <v>4.4623850343999242E-15</v>
      </c>
      <c r="BP18" s="72">
        <f>-BQ16*SIN((BQ17)/180*PI())</f>
        <v>-2.3198002583110378</v>
      </c>
      <c r="BQ18" s="72">
        <f>BQ16*COS((BQ17)/180*PI())</f>
        <v>0.47534278319970391</v>
      </c>
      <c r="BR18" s="72">
        <f>-BS16*SIN((BS17)/180*PI())</f>
        <v>0.49652065143745261</v>
      </c>
      <c r="BS18" s="72">
        <f>BS16*COS((BS17)/180*PI())</f>
        <v>2.288761945396709</v>
      </c>
      <c r="BT18" s="72">
        <f>-BU16*SIN((BU17)/180*PI())</f>
        <v>57.88860825580263</v>
      </c>
      <c r="BU18" s="72">
        <f>BU16*COS((BU17)/180*PI())</f>
        <v>3.5461069480703489E-15</v>
      </c>
      <c r="BV18" s="72">
        <f>-BW16*SIN((BW17)/180*PI())</f>
        <v>1.0103382300292252</v>
      </c>
      <c r="BW18" s="72">
        <f>BW16*COS((BW17)/180*PI())</f>
        <v>-0.20537200622629237</v>
      </c>
      <c r="BX18" s="72">
        <f>-BY16*SIN((BY17)/180*PI())</f>
        <v>63.143857386654716</v>
      </c>
      <c r="BY18" s="72">
        <f>BY16*COS((BY17)/180*PI())</f>
        <v>3.8680299657115138E-15</v>
      </c>
      <c r="BZ18" s="72">
        <f>-CA16*SIN((CA17)/180*PI())</f>
        <v>1.0103382300292252</v>
      </c>
      <c r="CA18" s="72">
        <f>CA16*COS((CA17)/180*PI())</f>
        <v>-0.20537200622629237</v>
      </c>
      <c r="CB18" s="72">
        <f>-CC16*SIN((CC17)/180*PI())</f>
        <v>63.143857386654716</v>
      </c>
      <c r="CC18" s="72">
        <f>CC16*COS((CC17)/180*PI())</f>
        <v>3.8680299657115138E-15</v>
      </c>
    </row>
    <row r="19" spans="1:81" s="164" customFormat="1" ht="69" customHeight="1" x14ac:dyDescent="0.3">
      <c r="A19" s="251" t="s">
        <v>40</v>
      </c>
      <c r="B19" s="388"/>
      <c r="C19" s="388"/>
      <c r="D19" s="65"/>
      <c r="E19" s="65"/>
      <c r="F19" s="388"/>
      <c r="G19" s="388"/>
      <c r="H19" s="65"/>
      <c r="I19" s="65"/>
      <c r="J19" s="388"/>
      <c r="K19" s="388"/>
      <c r="L19" s="427"/>
      <c r="M19" s="427"/>
      <c r="N19" s="388"/>
      <c r="O19" s="388"/>
      <c r="P19" s="65"/>
      <c r="Q19" s="65"/>
      <c r="R19" s="405" t="s">
        <v>284</v>
      </c>
      <c r="S19" s="405"/>
      <c r="T19" s="65"/>
      <c r="U19" s="65"/>
      <c r="V19" s="65"/>
      <c r="W19" s="65"/>
      <c r="X19" s="388"/>
      <c r="Y19" s="388"/>
      <c r="Z19" s="65"/>
      <c r="AA19" s="65"/>
      <c r="AJ19" s="428"/>
      <c r="AK19" s="428"/>
      <c r="AL19" s="425"/>
      <c r="AM19" s="425"/>
    </row>
    <row r="20" spans="1:81" s="127" customFormat="1" x14ac:dyDescent="0.3">
      <c r="A20" s="252" t="s">
        <v>38</v>
      </c>
      <c r="D20" s="67"/>
      <c r="E20" s="67"/>
      <c r="H20" s="67"/>
      <c r="I20" s="67"/>
      <c r="L20" s="67"/>
      <c r="M20" s="67"/>
      <c r="P20" s="67"/>
      <c r="Q20" s="67"/>
      <c r="T20" s="67"/>
      <c r="U20" s="67"/>
      <c r="V20" s="67"/>
      <c r="W20" s="67"/>
      <c r="Z20" s="67"/>
      <c r="AA20" s="67"/>
    </row>
    <row r="21" spans="1:81" x14ac:dyDescent="0.3">
      <c r="A21" s="139" t="s">
        <v>65</v>
      </c>
      <c r="C21" s="118">
        <f>C16/C8</f>
        <v>0.11509031438954381</v>
      </c>
      <c r="E21" s="118">
        <f>E16/E8</f>
        <v>0.11298052700630379</v>
      </c>
      <c r="G21" s="118">
        <f>G16/G8</f>
        <v>0.1251437270063839</v>
      </c>
      <c r="I21" s="118">
        <f>I16/I8</f>
        <v>0.11753747939668027</v>
      </c>
      <c r="K21" s="118">
        <f>K16/K8</f>
        <v>0.11606281675236842</v>
      </c>
      <c r="M21" s="118">
        <f>M16/M8</f>
        <v>0.11689198119568674</v>
      </c>
      <c r="O21" s="118">
        <f>O16/O8</f>
        <v>0.11824384235098608</v>
      </c>
      <c r="Q21" s="118">
        <f>Q16/Q8</f>
        <v>0.12300214048499175</v>
      </c>
      <c r="S21" s="118">
        <f>S16/S8</f>
        <v>0.12924472909948784</v>
      </c>
      <c r="U21" s="118">
        <f>U16/U8</f>
        <v>0.13529956615872693</v>
      </c>
      <c r="W21" s="118">
        <f>W16/W8</f>
        <v>0.14018559127100044</v>
      </c>
      <c r="Y21" s="118">
        <f>Y16/Y8</f>
        <v>0.11701059584344488</v>
      </c>
      <c r="AA21" s="118">
        <f>AA16/AA8</f>
        <v>0.12998673672393629</v>
      </c>
      <c r="AC21" s="118">
        <f>AC16/AC8</f>
        <v>0.11368711909680172</v>
      </c>
      <c r="AE21" s="118">
        <f>AE16/AE8</f>
        <v>8.1928803037291401E-2</v>
      </c>
      <c r="AG21" s="118">
        <f>AG16/AG8</f>
        <v>0.11465586513835808</v>
      </c>
      <c r="AH21" s="63"/>
      <c r="AI21" s="118">
        <f>AI16/AI8</f>
        <v>0.11601001066010669</v>
      </c>
      <c r="AK21" s="118">
        <f>AK16/AK8</f>
        <v>0.11697916699570216</v>
      </c>
      <c r="AL21" s="63"/>
      <c r="AM21" s="118">
        <f>AM16/AM8</f>
        <v>9.9818074515590619E-2</v>
      </c>
      <c r="AO21" s="118">
        <f>AO16/AO8</f>
        <v>0.11334589924794947</v>
      </c>
      <c r="AP21" s="63"/>
      <c r="AQ21" s="118">
        <f>AQ16/AQ8</f>
        <v>0.12400000000000001</v>
      </c>
      <c r="AS21" s="118">
        <f>AS16/AS8</f>
        <v>0.12658764763615499</v>
      </c>
      <c r="AT21" s="63"/>
      <c r="AU21" s="118">
        <f>AU16/AU8</f>
        <v>0.11104615042743481</v>
      </c>
      <c r="AV21" s="63"/>
      <c r="AW21" s="118">
        <f>AW16/AW8</f>
        <v>0.10145454545454546</v>
      </c>
      <c r="AY21" s="118">
        <f>AY16/AY8</f>
        <v>0.11711564132657032</v>
      </c>
      <c r="BA21" s="118">
        <f>BA16/BA8</f>
        <v>0.13657164486137355</v>
      </c>
      <c r="BC21" s="118">
        <f>BC16/BC8</f>
        <v>0.11321798012291931</v>
      </c>
      <c r="BE21" s="118">
        <f>BE16/BE8</f>
        <v>0.1175331683384918</v>
      </c>
      <c r="BG21" s="118">
        <f>BG16/BG8</f>
        <v>0.11604823106652509</v>
      </c>
      <c r="BI21" s="118">
        <f>BI16/BI8</f>
        <v>0.11846534142494959</v>
      </c>
      <c r="BK21" s="118">
        <f>BK16/BK8</f>
        <v>0.11744802004645129</v>
      </c>
      <c r="BM21" s="118">
        <f>BM16/BM8</f>
        <v>0.11472635694789744</v>
      </c>
      <c r="BO21" s="118">
        <f>BO16/BO8</f>
        <v>0.11856946264315864</v>
      </c>
      <c r="BQ21" s="118">
        <f>BQ16/BQ8</f>
        <v>0.12105780299352889</v>
      </c>
      <c r="BS21" s="118">
        <f>BS16/BS8</f>
        <v>0.1225831386861763</v>
      </c>
      <c r="BT21" s="63"/>
      <c r="BU21" s="118">
        <f>BU16/BU8</f>
        <v>0.11627829281097492</v>
      </c>
      <c r="BW21" s="118">
        <f>BW16/BW8</f>
        <v>9.2215443392091312E-2</v>
      </c>
      <c r="BX21" s="63"/>
      <c r="BY21" s="118">
        <f>BY16/BY8</f>
        <v>0.12203562938178131</v>
      </c>
      <c r="CA21" s="118">
        <f>CA16/CA8</f>
        <v>0.10258833431064987</v>
      </c>
      <c r="CC21" s="118">
        <f>CC16/CC8</f>
        <v>0.11517521077853481</v>
      </c>
    </row>
    <row r="22" spans="1:81" x14ac:dyDescent="0.3">
      <c r="A22" s="118" t="s">
        <v>34</v>
      </c>
      <c r="C22" s="129"/>
      <c r="K22" s="129"/>
      <c r="AE22" s="63"/>
      <c r="AH22" s="63"/>
      <c r="AI22" s="63"/>
      <c r="AL22" s="63"/>
      <c r="AM22" s="63"/>
      <c r="AP22" s="63"/>
      <c r="AQ22" s="63"/>
      <c r="AT22" s="63"/>
      <c r="AU22" s="63"/>
      <c r="AV22" s="63"/>
      <c r="AW22" s="63"/>
      <c r="BA22" s="63"/>
      <c r="BC22" s="63"/>
      <c r="BD22" s="118">
        <f>STDEV(BD21:BU21,BY21,CC21)</f>
        <v>2.6988805543993227E-3</v>
      </c>
      <c r="BE22" s="129">
        <f>AVERAGE(BD21:BU21,BY21,CC21)</f>
        <v>0.11817460501077001</v>
      </c>
      <c r="BG22" s="63"/>
      <c r="BH22" s="118">
        <f>STDEV(BH21:BY21,CC21,CG21)</f>
        <v>8.7432567738928175E-3</v>
      </c>
      <c r="BI22" s="129">
        <f>AVERAGE(BH21:BY21,CC21,CG21)</f>
        <v>0.11585546991055447</v>
      </c>
      <c r="BK22" s="63"/>
      <c r="BL22" s="118">
        <f>STDEV(BL21:CC21,CG21,CK21)</f>
        <v>1.0128922700721292E-2</v>
      </c>
      <c r="BM22" s="129">
        <f>AVERAGE(BL21:CC21,CG21,CK21)</f>
        <v>0.11391440799386594</v>
      </c>
      <c r="BO22" s="63"/>
      <c r="BP22" s="118">
        <f>STDEV(BP21:CG21,CK21,CO21)</f>
        <v>1.1504796630806129E-2</v>
      </c>
      <c r="BQ22" s="129">
        <f>AVERAGE(BP21:CG21,CK21,CO21)</f>
        <v>0.11313340747910534</v>
      </c>
      <c r="BS22" s="129">
        <f>AVERAGE(BR21:CI21,CM21,CQ21)</f>
        <v>0.11181267489336809</v>
      </c>
      <c r="BT22" s="63"/>
      <c r="BU22" s="63"/>
      <c r="BW22" s="129">
        <f>AVERAGE(BV21:CM21,CQ21,CU21)</f>
        <v>0.10800365446576433</v>
      </c>
      <c r="BX22" s="63"/>
      <c r="BY22" s="63"/>
      <c r="CA22" s="129">
        <f>AVERAGE(BZ21:CQ21,CU21,CY21)</f>
        <v>0.10888177254459233</v>
      </c>
      <c r="CC22" s="63"/>
    </row>
    <row r="23" spans="1:81" x14ac:dyDescent="0.3">
      <c r="A23" s="118" t="s">
        <v>35</v>
      </c>
      <c r="C23" s="118">
        <f>C21-$C22</f>
        <v>0.11509031438954381</v>
      </c>
      <c r="E23" s="118">
        <f>E21-$C22</f>
        <v>0.11298052700630379</v>
      </c>
      <c r="G23" s="118">
        <f>G21-$C22</f>
        <v>0.1251437270063839</v>
      </c>
      <c r="I23" s="118">
        <f>I21-$C22</f>
        <v>0.11753747939668027</v>
      </c>
      <c r="K23" s="118">
        <f>K21-$C22</f>
        <v>0.11606281675236842</v>
      </c>
      <c r="M23" s="118">
        <f>M21-$C22</f>
        <v>0.11689198119568674</v>
      </c>
      <c r="O23" s="118">
        <f>O21-$C22</f>
        <v>0.11824384235098608</v>
      </c>
      <c r="Q23" s="118">
        <f>Q21-$C22</f>
        <v>0.12300214048499175</v>
      </c>
      <c r="S23" s="118">
        <f>S21-$C22</f>
        <v>0.12924472909948784</v>
      </c>
      <c r="U23" s="118">
        <f>U21-$C22</f>
        <v>0.13529956615872693</v>
      </c>
      <c r="W23" s="118">
        <f>W21-$C22</f>
        <v>0.14018559127100044</v>
      </c>
      <c r="Y23" s="118">
        <f>Y21-$C22</f>
        <v>0.11701059584344488</v>
      </c>
      <c r="AA23" s="118">
        <f>AA21-$C22</f>
        <v>0.12998673672393629</v>
      </c>
      <c r="AC23" s="118">
        <f>AC21-$C22</f>
        <v>0.11368711909680172</v>
      </c>
      <c r="AE23" s="118">
        <f>AE21-$C22</f>
        <v>8.1928803037291401E-2</v>
      </c>
      <c r="AG23" s="118">
        <f>AG21-$C22</f>
        <v>0.11465586513835808</v>
      </c>
      <c r="AH23" s="63"/>
      <c r="AI23" s="118">
        <f>AI21-$C22</f>
        <v>0.11601001066010669</v>
      </c>
      <c r="AK23" s="118">
        <f>AK21-$C22</f>
        <v>0.11697916699570216</v>
      </c>
      <c r="AL23" s="63"/>
      <c r="AM23" s="118">
        <f>AM21-$C22</f>
        <v>9.9818074515590619E-2</v>
      </c>
      <c r="AO23" s="118">
        <f>AO21-$C22</f>
        <v>0.11334589924794947</v>
      </c>
      <c r="AP23" s="63"/>
      <c r="AQ23" s="118">
        <f>AQ21-$C22</f>
        <v>0.12400000000000001</v>
      </c>
      <c r="AS23" s="118">
        <f>AS21-$C22</f>
        <v>0.12658764763615499</v>
      </c>
      <c r="AT23" s="63"/>
      <c r="AU23" s="118">
        <f>AU21-$C22</f>
        <v>0.11104615042743481</v>
      </c>
      <c r="AV23" s="63"/>
      <c r="AW23" s="118">
        <f>AW21-$C22</f>
        <v>0.10145454545454546</v>
      </c>
      <c r="AY23" s="118">
        <f>AY21-$C22</f>
        <v>0.11711564132657032</v>
      </c>
      <c r="BA23" s="118">
        <f>BA21-$C22</f>
        <v>0.13657164486137355</v>
      </c>
      <c r="BC23" s="118">
        <f>BC21-$C22</f>
        <v>0.11321798012291931</v>
      </c>
      <c r="BE23" s="118">
        <f>BE21-$C22</f>
        <v>0.1175331683384918</v>
      </c>
      <c r="BG23" s="118">
        <f>BG21-$C22</f>
        <v>0.11604823106652509</v>
      </c>
      <c r="BI23" s="118">
        <f>BI21-$C22</f>
        <v>0.11846534142494959</v>
      </c>
      <c r="BK23" s="118">
        <f>BK21-$C22</f>
        <v>0.11744802004645129</v>
      </c>
      <c r="BM23" s="118">
        <f>BM21-$C22</f>
        <v>0.11472635694789744</v>
      </c>
      <c r="BO23" s="118">
        <f>BO21-$C22</f>
        <v>0.11856946264315864</v>
      </c>
      <c r="BQ23" s="118">
        <f>BQ21-$C22</f>
        <v>0.12105780299352889</v>
      </c>
      <c r="BS23" s="118">
        <f>BS21-$C22</f>
        <v>0.1225831386861763</v>
      </c>
      <c r="BT23" s="63"/>
      <c r="BU23" s="118">
        <f>BU21-$C22</f>
        <v>0.11627829281097492</v>
      </c>
      <c r="BW23" s="118">
        <f>BW21-$C22</f>
        <v>9.2215443392091312E-2</v>
      </c>
      <c r="BX23" s="63"/>
      <c r="BY23" s="118">
        <f>BY21-$C22</f>
        <v>0.12203562938178131</v>
      </c>
      <c r="CA23" s="118">
        <f>CA21-$C22</f>
        <v>0.10258833431064987</v>
      </c>
      <c r="CC23" s="118">
        <f>CC21-$C22</f>
        <v>0.11517521077853481</v>
      </c>
    </row>
    <row r="24" spans="1:81" x14ac:dyDescent="0.3">
      <c r="A24" s="139" t="s">
        <v>64</v>
      </c>
      <c r="C24" s="74">
        <f>MOD(C9-C17,360)</f>
        <v>193.34301049384038</v>
      </c>
      <c r="E24" s="74">
        <f>MOD(E9-E17,360)</f>
        <v>192.11384294556433</v>
      </c>
      <c r="G24" s="74">
        <f>MOD(G9-G17,360)</f>
        <v>192.37199765154566</v>
      </c>
      <c r="I24" s="74">
        <f>MOD(I9-I17,360)</f>
        <v>193.55261022038789</v>
      </c>
      <c r="K24" s="74">
        <f>MOD(K9-K17,360)</f>
        <v>191.46402679681489</v>
      </c>
      <c r="M24" s="74">
        <f>MOD(M9-M17,360)</f>
        <v>194.2779036816265</v>
      </c>
      <c r="O24" s="74">
        <f>MOD(O9-O17,360)</f>
        <v>193.00848342150172</v>
      </c>
      <c r="Q24" s="74">
        <f>MOD(Q9-Q17,360)</f>
        <v>192.85928600251219</v>
      </c>
      <c r="S24" s="74">
        <f>MOD(S9-S17,360)</f>
        <v>170.33494882292203</v>
      </c>
      <c r="U24" s="74">
        <f>MOD(U9-U17,360)</f>
        <v>266.34395478041654</v>
      </c>
      <c r="W24" s="74">
        <f>MOD(W9-W17,360)</f>
        <v>272.86375653207347</v>
      </c>
      <c r="Y24" s="74">
        <f>MOD(Y9-Y17,360)</f>
        <v>270.10323552704472</v>
      </c>
      <c r="AA24" s="74">
        <f>MOD(AA9-AA17,360)</f>
        <v>269.70140948635185</v>
      </c>
      <c r="AC24" s="74">
        <f>MOD(AC9-AC17,360)</f>
        <v>269.323690001187</v>
      </c>
      <c r="AE24" s="74">
        <f>MOD(AE9-AE17,360)</f>
        <v>358.45604521958347</v>
      </c>
      <c r="AG24" s="74">
        <f>MOD(AG9-AG17,360)</f>
        <v>188.21278018928587</v>
      </c>
      <c r="AH24" s="63"/>
      <c r="AI24" s="74">
        <f>MOD(AI9-AI17,360)</f>
        <v>188.4308801610197</v>
      </c>
      <c r="AK24" s="74">
        <f>MOD(AK9-AK17,360)</f>
        <v>187.91021831489695</v>
      </c>
      <c r="AL24" s="63"/>
      <c r="AM24" s="74">
        <f>MOD(AM9-AM17,360)</f>
        <v>187.91484646876603</v>
      </c>
      <c r="AO24" s="74">
        <f>MOD(AO9-AO17,360)</f>
        <v>188.44554139668531</v>
      </c>
      <c r="AP24" s="63"/>
      <c r="AQ24" s="74">
        <f>MOD(AQ9-AQ17,360)</f>
        <v>267.61</v>
      </c>
      <c r="AS24" s="74">
        <f>MOD(AS9-AS17,360)</f>
        <v>273.62577598705877</v>
      </c>
      <c r="AT24" s="63"/>
      <c r="AU24" s="74">
        <f>MOD(AU9-AU17,360)</f>
        <v>261.89940686250037</v>
      </c>
      <c r="AV24" s="63"/>
      <c r="AW24" s="74">
        <f>MOD(AW9-AW17,360)</f>
        <v>267.61</v>
      </c>
      <c r="AY24" s="74">
        <f>MOD(AY9-AY17,360)</f>
        <v>274.82453909515459</v>
      </c>
      <c r="BA24" s="74">
        <f>MOD(BA9-BA17,360)</f>
        <v>274.45000503949421</v>
      </c>
      <c r="BC24" s="74">
        <f>MOD(BC9-BC17,360)</f>
        <v>275.10062962534471</v>
      </c>
      <c r="BE24" s="74">
        <f>MOD(BE9-BE17,360)</f>
        <v>276.30066759778663</v>
      </c>
      <c r="BG24" s="74">
        <f>MOD(BG9-BG17,360)</f>
        <v>274.4864700749867</v>
      </c>
      <c r="BI24" s="74">
        <f>MOD(BI9-BI17,360)</f>
        <v>274.88753531713206</v>
      </c>
      <c r="BK24" s="74">
        <f>MOD(BK9-BK17,360)</f>
        <v>275.2917327137302</v>
      </c>
      <c r="BM24" s="74">
        <f>MOD(BM9-BM17,360)</f>
        <v>273.32980868840389</v>
      </c>
      <c r="BO24" s="74">
        <f>MOD(BO9-BO17,360)</f>
        <v>275.04245106917091</v>
      </c>
      <c r="BQ24" s="74">
        <f>MOD(BQ9-BQ17,360)</f>
        <v>274.41138647780241</v>
      </c>
      <c r="BS24" s="74">
        <f>MOD(BS9-BS17,360)</f>
        <v>274.5819406373397</v>
      </c>
      <c r="BT24" s="63"/>
      <c r="BU24" s="74">
        <f>MOD(BU9-BU17,360)</f>
        <v>273.33942797871089</v>
      </c>
      <c r="BW24" s="74">
        <f>MOD(BW9-BW17,360)</f>
        <v>271.18515353123399</v>
      </c>
      <c r="BX24" s="63"/>
      <c r="BY24" s="74">
        <f>MOD(BY9-BY17,360)</f>
        <v>275.54531730886202</v>
      </c>
      <c r="CA24" s="74">
        <f>MOD(CA9-CA17,360)</f>
        <v>197.20059313749965</v>
      </c>
      <c r="CC24" s="74">
        <f>MOD(CC9-CC17,360)</f>
        <v>200.05453647337819</v>
      </c>
    </row>
    <row r="25" spans="1:81" x14ac:dyDescent="0.3">
      <c r="A25" s="118" t="s">
        <v>36</v>
      </c>
      <c r="X25" s="118">
        <f>STDEV(X24:AA24)</f>
        <v>0.28413391823126821</v>
      </c>
      <c r="Y25" s="118">
        <f>AVERAGE(X24:AA24)</f>
        <v>269.90232250669828</v>
      </c>
      <c r="AB25" s="118">
        <f>STDEV(AB24:AE24)</f>
        <v>63.026092798055991</v>
      </c>
      <c r="AC25" s="118">
        <f>AVERAGE(AB24:AE24)</f>
        <v>313.88986761038524</v>
      </c>
      <c r="AE25" s="63"/>
      <c r="AF25" s="118">
        <f>STDEV(AF24:AI24)</f>
        <v>0.15421996898958923</v>
      </c>
      <c r="AG25" s="118">
        <f>AVERAGE(AF24:AI24)</f>
        <v>188.3218301751528</v>
      </c>
      <c r="AH25" s="63"/>
      <c r="AI25" s="63"/>
      <c r="AJ25" s="118">
        <f>STDEV(AJ24:AM24)</f>
        <v>3.2725989851996539E-3</v>
      </c>
      <c r="AK25" s="118">
        <f>AVERAGE(AJ24:AM24)</f>
        <v>187.91253239183149</v>
      </c>
      <c r="AL25" s="63"/>
      <c r="AM25" s="63"/>
      <c r="AN25" s="118">
        <f>STDEV(AN24:AQ24)</f>
        <v>55.977725507365506</v>
      </c>
      <c r="AO25" s="118">
        <f>AVERAGE(AN24:AQ24)</f>
        <v>228.02777069834266</v>
      </c>
      <c r="AP25" s="63"/>
      <c r="AQ25" s="63"/>
      <c r="AR25" s="118">
        <f>STDEV(AR24:AU24)</f>
        <v>8.291795126671806</v>
      </c>
      <c r="AS25" s="118">
        <f>AVERAGE(AR24:AU24)</f>
        <v>267.76259142477954</v>
      </c>
      <c r="AT25" s="63"/>
      <c r="AU25" s="63"/>
      <c r="AV25" s="63"/>
      <c r="AW25" s="63"/>
      <c r="AX25" s="118">
        <f>STDEV(AX24:BA24)</f>
        <v>0.26483557054275203</v>
      </c>
      <c r="AY25" s="118">
        <f>AVERAGE(AX24:BA24)</f>
        <v>274.63727206732437</v>
      </c>
      <c r="BA25" s="63"/>
      <c r="BC25" s="63"/>
      <c r="BD25" s="118">
        <f>STDEV(BD24:BG24)</f>
        <v>1.2828313707836663</v>
      </c>
      <c r="BE25" s="118">
        <f>AVERAGE(BD24:BI24)</f>
        <v>275.22489099663511</v>
      </c>
      <c r="BG25" s="63"/>
      <c r="BH25" s="118">
        <f>STDEV(BH24:BK24)</f>
        <v>0.28581072007249003</v>
      </c>
      <c r="BI25" s="118">
        <f>AVERAGE(BH24:BM24)</f>
        <v>274.50302557308868</v>
      </c>
      <c r="BK25" s="63"/>
      <c r="BL25" s="118">
        <f>STDEV(BL24:BO24)</f>
        <v>1.2110210411878344</v>
      </c>
      <c r="BM25" s="118">
        <f>AVERAGE(BL24:BQ24)</f>
        <v>274.26121541179236</v>
      </c>
      <c r="BO25" s="63"/>
      <c r="BP25" s="118">
        <f>STDEV(BP24:BS24)</f>
        <v>0.1206000027683895</v>
      </c>
      <c r="BQ25" s="118">
        <f>AVERAGE(BP24:BU24)</f>
        <v>274.1109183646177</v>
      </c>
      <c r="BS25" s="118">
        <f>AVERAGE(BR24:BU24)</f>
        <v>273.96068430802529</v>
      </c>
      <c r="BT25" s="63"/>
      <c r="BU25" s="63"/>
      <c r="BW25" s="118">
        <f>AVERAGE(BV24:BY24)</f>
        <v>273.36523542004801</v>
      </c>
      <c r="BX25" s="63"/>
      <c r="BY25" s="63"/>
      <c r="CA25" s="118">
        <f>AVERAGE(BZ24:CC24)</f>
        <v>198.62756480543891</v>
      </c>
      <c r="CC25" s="63"/>
    </row>
    <row r="26" spans="1:81" x14ac:dyDescent="0.3">
      <c r="A26" s="118" t="s">
        <v>35</v>
      </c>
      <c r="C26" s="118">
        <f>C24-$C25</f>
        <v>193.34301049384038</v>
      </c>
      <c r="E26" s="63">
        <f>E24-$C25</f>
        <v>192.11384294556433</v>
      </c>
      <c r="G26" s="118">
        <f>G24-$C25</f>
        <v>192.37199765154566</v>
      </c>
      <c r="I26" s="118">
        <f>I24-$C25</f>
        <v>193.55261022038789</v>
      </c>
      <c r="K26" s="118">
        <f>K24-$C25</f>
        <v>191.46402679681489</v>
      </c>
      <c r="M26" s="63">
        <f>M24-$C25</f>
        <v>194.2779036816265</v>
      </c>
      <c r="O26" s="118">
        <f>O24-$C25</f>
        <v>193.00848342150172</v>
      </c>
      <c r="Q26" s="118">
        <f>Q24-$C25</f>
        <v>192.85928600251219</v>
      </c>
      <c r="S26" s="118">
        <f>S24-$C25</f>
        <v>170.33494882292203</v>
      </c>
      <c r="U26" s="63">
        <f>U24-$C25</f>
        <v>266.34395478041654</v>
      </c>
      <c r="W26" s="63">
        <f>W24-$C25</f>
        <v>272.86375653207347</v>
      </c>
      <c r="Y26" s="118">
        <f>Y24-$C25</f>
        <v>270.10323552704472</v>
      </c>
      <c r="AA26" s="118">
        <f>AA24-$C25</f>
        <v>269.70140948635185</v>
      </c>
      <c r="AC26" s="118">
        <f>AC24-$C25</f>
        <v>269.323690001187</v>
      </c>
      <c r="AE26" s="118">
        <f>AE24-$C25</f>
        <v>358.45604521958347</v>
      </c>
      <c r="AG26" s="118">
        <f>AG24-$C25</f>
        <v>188.21278018928587</v>
      </c>
      <c r="AH26" s="63"/>
      <c r="AI26" s="118">
        <f>AI24-$C25</f>
        <v>188.4308801610197</v>
      </c>
      <c r="AK26" s="118">
        <f>AK24-$C25</f>
        <v>187.91021831489695</v>
      </c>
      <c r="AL26" s="63"/>
      <c r="AM26" s="118">
        <f>AM24-$C25</f>
        <v>187.91484646876603</v>
      </c>
      <c r="AO26" s="118">
        <f>AO24-$C25</f>
        <v>188.44554139668531</v>
      </c>
      <c r="AP26" s="63"/>
      <c r="AQ26" s="118">
        <f>AQ24-$C25</f>
        <v>267.61</v>
      </c>
      <c r="AS26" s="118">
        <f>AS24-$C25</f>
        <v>273.62577598705877</v>
      </c>
      <c r="AT26" s="63"/>
      <c r="AU26" s="118">
        <f>AU24-$C25</f>
        <v>261.89940686250037</v>
      </c>
      <c r="AV26" s="63"/>
      <c r="AW26" s="118">
        <f>AW24-$C25</f>
        <v>267.61</v>
      </c>
      <c r="AY26" s="118">
        <f>AY24-$C25</f>
        <v>274.82453909515459</v>
      </c>
      <c r="BA26" s="118">
        <f>BA24-$C25</f>
        <v>274.45000503949421</v>
      </c>
      <c r="BC26" s="63">
        <f>BC24-$C25</f>
        <v>275.10062962534471</v>
      </c>
      <c r="BE26" s="118">
        <f>BE24-$C25</f>
        <v>276.30066759778663</v>
      </c>
      <c r="BG26" s="63">
        <f>BG24-$C25</f>
        <v>274.4864700749867</v>
      </c>
      <c r="BI26" s="118">
        <f>BI24-$C25</f>
        <v>274.88753531713206</v>
      </c>
      <c r="BK26" s="63">
        <f>BK24-$C25</f>
        <v>275.2917327137302</v>
      </c>
      <c r="BM26" s="118">
        <f>BM24-$C25</f>
        <v>273.32980868840389</v>
      </c>
      <c r="BO26" s="63">
        <f>BO24-$C25</f>
        <v>275.04245106917091</v>
      </c>
      <c r="BQ26" s="118">
        <f>BQ24-$C25</f>
        <v>274.41138647780241</v>
      </c>
      <c r="BS26" s="118">
        <f>BS24-$C25</f>
        <v>274.5819406373397</v>
      </c>
      <c r="BT26" s="63"/>
      <c r="BU26" s="63">
        <f>BU24-$C25</f>
        <v>273.33942797871089</v>
      </c>
      <c r="BW26" s="118">
        <f>BW24-$C25</f>
        <v>271.18515353123399</v>
      </c>
      <c r="BX26" s="63"/>
      <c r="BY26" s="63">
        <f>BY24-$C25</f>
        <v>275.54531730886202</v>
      </c>
      <c r="CA26" s="118">
        <f>CA24-$C25</f>
        <v>197.20059313749965</v>
      </c>
      <c r="CC26" s="63">
        <f>CC24-$C25</f>
        <v>200.05453647337819</v>
      </c>
    </row>
    <row r="27" spans="1:81" x14ac:dyDescent="0.3">
      <c r="A27" s="118" t="s">
        <v>67</v>
      </c>
      <c r="C27" s="118">
        <f>SQRT(C16)</f>
        <v>2.4635340468522045</v>
      </c>
      <c r="E27" s="63">
        <f>SQRT(E16)</f>
        <v>8.4300338054157553</v>
      </c>
      <c r="G27" s="118">
        <f>SQRT(G16)</f>
        <v>1.287245120402482</v>
      </c>
      <c r="I27" s="63">
        <f>SQRT(I16)</f>
        <v>7.1174988566328654</v>
      </c>
      <c r="K27" s="118">
        <f>SQRT(K16)</f>
        <v>1.9969977466186586</v>
      </c>
      <c r="M27" s="63">
        <f>SQRT(M16)</f>
        <v>8.5987605327481145</v>
      </c>
      <c r="O27" s="118">
        <f>SQRT(O16)</f>
        <v>2.6804850307360417</v>
      </c>
      <c r="Q27" s="63">
        <f>SQRT(Q16)</f>
        <v>7.902682534135808</v>
      </c>
      <c r="S27" s="118">
        <f>SQRT(S16)</f>
        <v>0.76026311234992849</v>
      </c>
      <c r="U27" s="63">
        <f>SQRT(U16)</f>
        <v>0.76026311234992849</v>
      </c>
      <c r="W27" s="63">
        <f>SQRT(W16)</f>
        <v>0.76026311234992849</v>
      </c>
      <c r="Y27" s="118">
        <f>SQRT(Y16)</f>
        <v>8.0585970309960011</v>
      </c>
      <c r="AA27" s="63">
        <f>SQRT(AA16)</f>
        <v>0.83666002653407556</v>
      </c>
      <c r="AC27" s="118">
        <f>SQRT(AC16)</f>
        <v>8.2110388187742132</v>
      </c>
      <c r="AE27" s="63">
        <f>SQRT(AE16)</f>
        <v>0.83666002653407556</v>
      </c>
      <c r="AG27" s="118">
        <f>SQRT(AG16)</f>
        <v>8.2110388187742132</v>
      </c>
      <c r="AH27" s="63"/>
      <c r="AI27" s="63">
        <f>SQRT(AI16)</f>
        <v>2.5099800796022267</v>
      </c>
      <c r="AK27" s="118">
        <f>SQRT(AK16)</f>
        <v>7.7685644845122335</v>
      </c>
      <c r="AL27" s="63"/>
      <c r="AM27" s="63">
        <f>SQRT(AM16)</f>
        <v>1.0564090116995406</v>
      </c>
      <c r="AO27" s="118">
        <f>SQRT(AO16)</f>
        <v>8.0034352505134976</v>
      </c>
      <c r="AP27" s="63"/>
      <c r="AQ27" s="63">
        <f>SQRT(AQ16)</f>
        <v>1.0564090116995406</v>
      </c>
      <c r="AS27" s="118">
        <f>SQRT(AS16)</f>
        <v>8.0034352505134976</v>
      </c>
      <c r="AT27" s="63"/>
      <c r="AU27" s="63">
        <f>SQRT(AU16)</f>
        <v>1.0564090116995406</v>
      </c>
      <c r="AV27" s="63"/>
      <c r="AW27" s="63">
        <f>SQRT(AW16)</f>
        <v>1.0564090116995406</v>
      </c>
      <c r="AY27" s="118">
        <f>SQRT(AY16)</f>
        <v>8.0034352505134976</v>
      </c>
      <c r="BA27" s="63">
        <f>SQRT(BA16)</f>
        <v>1.2033287165193058</v>
      </c>
      <c r="BC27" s="63">
        <f>SQRT(BC16)</f>
        <v>8.6680223392291822</v>
      </c>
      <c r="BE27" s="118">
        <f>SQRT(BE16)</f>
        <v>1.5336231610144651</v>
      </c>
      <c r="BG27" s="63">
        <f>SQRT(BG16)</f>
        <v>8.3502421615336502</v>
      </c>
      <c r="BI27" s="118">
        <f>SQRT(BI16)</f>
        <v>2.3773935307390741</v>
      </c>
      <c r="BK27" s="63">
        <f>SQRT(BK16)</f>
        <v>8.6680223392291822</v>
      </c>
      <c r="BM27" s="118">
        <f>SQRT(BM16)</f>
        <v>2.1552262062252305</v>
      </c>
      <c r="BO27" s="63">
        <f>SQRT(BO16)</f>
        <v>8.5350124649543755</v>
      </c>
      <c r="BQ27" s="118">
        <f>SQRT(BQ16)</f>
        <v>1.5388307249337076</v>
      </c>
      <c r="BS27" s="118">
        <f>SQRT(BS16)</f>
        <v>1.5303594349041012</v>
      </c>
      <c r="BT27" s="63"/>
      <c r="BU27" s="63">
        <f>SQRT(BU16)</f>
        <v>7.6084563648484327</v>
      </c>
      <c r="BW27" s="118">
        <f>SQRT(BW16)</f>
        <v>1.0153817016275208</v>
      </c>
      <c r="BX27" s="63"/>
      <c r="BY27" s="63">
        <f>SQRT(BY16)</f>
        <v>7.9463109293970318</v>
      </c>
      <c r="CA27" s="118">
        <f>SQRT(CA16)</f>
        <v>1.0153817016275208</v>
      </c>
      <c r="CC27" s="63">
        <f>SQRT(CC16)</f>
        <v>7.9463109293970318</v>
      </c>
    </row>
    <row r="28" spans="1:81" x14ac:dyDescent="0.3">
      <c r="A28" s="129" t="s">
        <v>68</v>
      </c>
      <c r="C28" s="118">
        <f>C27*C21</f>
        <v>0.28352890796156538</v>
      </c>
      <c r="E28" s="118">
        <f>E27*E21</f>
        <v>0.95242966201682866</v>
      </c>
      <c r="G28" s="118">
        <f>G27*G21</f>
        <v>0.16109065193794797</v>
      </c>
      <c r="I28" s="118">
        <f>I27*I21</f>
        <v>0.83657287521738077</v>
      </c>
      <c r="K28" s="118">
        <f>K27*K21</f>
        <v>0.23177718352069401</v>
      </c>
      <c r="M28" s="118">
        <f>M27*M21</f>
        <v>1.0051261545002059</v>
      </c>
      <c r="O28" s="118">
        <f>O27*O21</f>
        <v>0.31695084939853058</v>
      </c>
      <c r="Q28" s="118">
        <f>Q27*Q21</f>
        <v>0.97204686727206324</v>
      </c>
      <c r="S28" s="118">
        <f>S27*S21</f>
        <v>9.826E-2</v>
      </c>
      <c r="U28" s="118">
        <f>U27*U21</f>
        <v>0.10286326926742879</v>
      </c>
      <c r="W28" s="118">
        <f>W27*W21</f>
        <v>0.10657793392630577</v>
      </c>
      <c r="Y28" s="118">
        <f>Y27*Y21</f>
        <v>0.9429412402590579</v>
      </c>
      <c r="AA28" s="118">
        <f>AA27*AA21</f>
        <v>0.10875470659652643</v>
      </c>
      <c r="AC28" s="118">
        <f>AC27*AC21</f>
        <v>0.93348934809844608</v>
      </c>
      <c r="AE28" s="118">
        <f>AE27*AE21</f>
        <v>6.8546554523085279E-2</v>
      </c>
      <c r="AG28" s="118">
        <f>AG27*AG21</f>
        <v>0.94144375945119929</v>
      </c>
      <c r="AH28" s="63"/>
      <c r="AI28" s="118">
        <f>AI27*AI21</f>
        <v>0.29118281579130978</v>
      </c>
      <c r="AK28" s="118">
        <f>AK27*AK21</f>
        <v>0.90876020215063735</v>
      </c>
      <c r="AL28" s="63"/>
      <c r="AM28" s="118">
        <f>AM27*AM21</f>
        <v>0.10544871344876619</v>
      </c>
      <c r="AO28" s="118">
        <f>AO27*AO21</f>
        <v>0.90715656554219004</v>
      </c>
      <c r="AP28" s="63"/>
      <c r="AQ28" s="118">
        <f>AQ27*AQ21</f>
        <v>0.13099471745074304</v>
      </c>
      <c r="AS28" s="118">
        <f>AS27*AS21</f>
        <v>1.0131360413707844</v>
      </c>
      <c r="AT28" s="63"/>
      <c r="AU28" s="118">
        <f>AU27*AU21</f>
        <v>0.11731015402608493</v>
      </c>
      <c r="AV28" s="63"/>
      <c r="AW28" s="118">
        <f>AW27*AW21</f>
        <v>0.10717749609606249</v>
      </c>
      <c r="AY28" s="118">
        <f>AY27*AY21</f>
        <v>0.93732745217956825</v>
      </c>
      <c r="BA28" s="118">
        <f>BA27*BA21</f>
        <v>0.16434058212396707</v>
      </c>
      <c r="BC28" s="118">
        <f>BC27*BC21</f>
        <v>0.98137598090787004</v>
      </c>
      <c r="BE28" s="118">
        <f>BE27*BE21</f>
        <v>0.18025158915132303</v>
      </c>
      <c r="BG28" s="118">
        <f>BG27*BG21</f>
        <v>0.96903083182309702</v>
      </c>
      <c r="BI28" s="118">
        <f>BI27*BI21</f>
        <v>0.28163873632047082</v>
      </c>
      <c r="BK28" s="118">
        <f>BK27*BK21</f>
        <v>1.0180420614608765</v>
      </c>
      <c r="BM28" s="118">
        <f>BM27*BM21</f>
        <v>0.24726125103885863</v>
      </c>
      <c r="BO28" s="118">
        <f>BO27*BO21</f>
        <v>1.011991841622301</v>
      </c>
      <c r="BQ28" s="118">
        <f>BQ27*BQ21</f>
        <v>0.18628746673941401</v>
      </c>
      <c r="BS28" s="118">
        <f>BS27*BS21</f>
        <v>0.18759626284854783</v>
      </c>
      <c r="BT28" s="63"/>
      <c r="BU28" s="118">
        <f>BU27*BU21</f>
        <v>0.88469831703137192</v>
      </c>
      <c r="BW28" s="118">
        <f>BW27*BW21</f>
        <v>9.3633873827798003E-2</v>
      </c>
      <c r="BX28" s="63"/>
      <c r="BY28" s="118">
        <f>BY27*BY21</f>
        <v>0.96973305553229439</v>
      </c>
      <c r="CA28" s="118">
        <f>CA27*CA21</f>
        <v>0.10416631745948064</v>
      </c>
      <c r="CC28" s="118">
        <f>CC27*CC21</f>
        <v>0.91521803620507791</v>
      </c>
    </row>
    <row r="29" spans="1:81" x14ac:dyDescent="0.3">
      <c r="A29" s="139" t="s">
        <v>69</v>
      </c>
      <c r="C29" s="139">
        <f>SUM(B28:Y28,AB28:AC28,AF28:CC28)/SUM(B27:Y27,AB27:AC27,AF27:CC27)</f>
        <v>0.11714207645707553</v>
      </c>
      <c r="G29" s="139"/>
      <c r="K29" s="139"/>
      <c r="O29" s="139"/>
      <c r="S29" s="139"/>
      <c r="Y29" s="139"/>
      <c r="AC29" s="139"/>
      <c r="AE29" s="63"/>
      <c r="AG29" s="139"/>
      <c r="AH29" s="63"/>
      <c r="AI29" s="63"/>
      <c r="AK29" s="139"/>
      <c r="AL29" s="63"/>
      <c r="AM29" s="63"/>
      <c r="AO29" s="139"/>
      <c r="AP29" s="63"/>
      <c r="AQ29" s="63"/>
      <c r="AS29" s="139"/>
      <c r="AT29" s="63"/>
      <c r="AU29" s="63"/>
      <c r="AV29" s="63"/>
      <c r="AW29" s="63"/>
      <c r="AY29" s="139"/>
      <c r="BA29" s="63"/>
      <c r="BC29" s="63"/>
      <c r="BE29" s="139">
        <f>SUM(BE28:BU28,BY28,CC28)/SUM(BE27:BU27,BY27,CC27)</f>
        <v>0.11774831385653171</v>
      </c>
      <c r="BG29" s="63"/>
      <c r="BI29" s="139">
        <f>SUM(BI28:BY28,CC28,CG28)/SUM(BI27:BY27,CC27,CG27)</f>
        <v>0.11751718545461015</v>
      </c>
      <c r="BK29" s="63"/>
      <c r="BM29" s="139">
        <f>SUM(BM28:CC28,CG28,CK28)/SUM(BM27:CC27,CG27,CK27)</f>
        <v>0.11708927628677349</v>
      </c>
      <c r="BO29" s="63"/>
      <c r="BQ29" s="139">
        <f>SUM(BQ28:CG28,CK28,CO28)/SUM(BQ27:CG27,CK27,CO27)</f>
        <v>0.11682562204604227</v>
      </c>
      <c r="BS29" s="139">
        <f>SUM(BS28:CI28,CM28,CQ28)/SUM(BS27:CI27,CM27,CQ27)</f>
        <v>0.11658496866900916</v>
      </c>
      <c r="BT29" s="63"/>
      <c r="BU29" s="63"/>
      <c r="BW29" s="139">
        <f>SUM(BW28:CM28,CQ28,CU28)/SUM(BW27:CM27,CQ27,CU27)</f>
        <v>0.11620300811335339</v>
      </c>
      <c r="BX29" s="63"/>
      <c r="BY29" s="63"/>
      <c r="CA29" s="139">
        <f>SUM(CA28:CQ28,CU28,CY28)/SUM(CA27:CQ27,CU27,CY27)</f>
        <v>0.11374908687847027</v>
      </c>
      <c r="CC29" s="63"/>
    </row>
    <row r="30" spans="1:81" x14ac:dyDescent="0.3">
      <c r="A30" s="118" t="s">
        <v>72</v>
      </c>
      <c r="C30" s="139">
        <f>C21-$C$29</f>
        <v>-2.051762067531715E-3</v>
      </c>
      <c r="E30" s="75">
        <f>E21-$C$29</f>
        <v>-4.1615494507717399E-3</v>
      </c>
      <c r="G30" s="139">
        <f>G21-$C29</f>
        <v>8.0016505493083756E-3</v>
      </c>
      <c r="I30" s="139">
        <f>I21-$C29</f>
        <v>3.9540293960474426E-4</v>
      </c>
      <c r="K30" s="139">
        <f>K21-$C$29</f>
        <v>-1.0792597047071112E-3</v>
      </c>
      <c r="M30" s="75">
        <f>M21-$C$29</f>
        <v>-2.5009526138879135E-4</v>
      </c>
      <c r="O30" s="139">
        <f>O21-$C29</f>
        <v>1.1017658939105474E-3</v>
      </c>
      <c r="Q30" s="139">
        <f>Q21-$C29</f>
        <v>5.8600640279162231E-3</v>
      </c>
      <c r="S30" s="139">
        <f>S21-$C29</f>
        <v>1.2102652642412309E-2</v>
      </c>
      <c r="U30" s="75">
        <f>U21-$C$29</f>
        <v>1.8157489701651403E-2</v>
      </c>
      <c r="W30" s="75">
        <f>W21-$C$29</f>
        <v>2.3043514813924915E-2</v>
      </c>
      <c r="Y30" s="139">
        <f>Y21-$C29</f>
        <v>-1.3148061363064956E-4</v>
      </c>
      <c r="AA30" s="139">
        <f>AA21-$C29</f>
        <v>1.2844660266860763E-2</v>
      </c>
      <c r="AC30" s="139">
        <f>AC21-$C29</f>
        <v>-3.4549573602738054E-3</v>
      </c>
      <c r="AE30" s="139">
        <f>AE21-$C29</f>
        <v>-3.5213273419784127E-2</v>
      </c>
      <c r="AG30" s="139">
        <f>AG21-$C29</f>
        <v>-2.4862113187174434E-3</v>
      </c>
      <c r="AH30" s="63"/>
      <c r="AI30" s="139">
        <f>AI21-$C29</f>
        <v>-1.1320657969688397E-3</v>
      </c>
      <c r="AK30" s="139">
        <f>AK21-$C29</f>
        <v>-1.6290946137337281E-4</v>
      </c>
      <c r="AL30" s="63"/>
      <c r="AM30" s="139">
        <f>AM21-$C29</f>
        <v>-1.7324001941484909E-2</v>
      </c>
      <c r="AO30" s="139">
        <f>AO21-$C29</f>
        <v>-3.7961772091260615E-3</v>
      </c>
      <c r="AP30" s="63"/>
      <c r="AQ30" s="139">
        <f>AQ21-$C29</f>
        <v>6.857923542924485E-3</v>
      </c>
      <c r="AS30" s="139">
        <f>AS21-$C29</f>
        <v>9.4455711790794594E-3</v>
      </c>
      <c r="AT30" s="63"/>
      <c r="AU30" s="139">
        <f>AU21-$C29</f>
        <v>-6.0959260296407219E-3</v>
      </c>
      <c r="AV30" s="63"/>
      <c r="AW30" s="139">
        <f>AW21-$C29</f>
        <v>-1.5687531002530064E-2</v>
      </c>
      <c r="AY30" s="139">
        <f>AY21-$C29</f>
        <v>-2.643513050520907E-5</v>
      </c>
      <c r="BA30" s="139">
        <f>BA21-$C29</f>
        <v>1.942956840429802E-2</v>
      </c>
      <c r="BC30" s="75">
        <f>BC21-$C$29</f>
        <v>-3.9240963341562185E-3</v>
      </c>
      <c r="BE30" s="139">
        <f>BE21-$C$29</f>
        <v>3.9109188141626949E-4</v>
      </c>
      <c r="BG30" s="75">
        <f>BG21-$C$29</f>
        <v>-1.0938453905504353E-3</v>
      </c>
      <c r="BI30" s="139">
        <f>BI21-$C$29</f>
        <v>1.3232649678740632E-3</v>
      </c>
      <c r="BK30" s="75">
        <f>BK21-$C$29</f>
        <v>3.0594358937575949E-4</v>
      </c>
      <c r="BM30" s="139">
        <f>BM21-$C$29</f>
        <v>-2.4157195091780853E-3</v>
      </c>
      <c r="BO30" s="75">
        <f>BO21-$C$29</f>
        <v>1.42738618608311E-3</v>
      </c>
      <c r="BQ30" s="139">
        <f>BQ21-$C$29</f>
        <v>3.9157265364533622E-3</v>
      </c>
      <c r="BS30" s="139">
        <f>BS21-$C$29</f>
        <v>5.4410622291007765E-3</v>
      </c>
      <c r="BT30" s="63"/>
      <c r="BU30" s="75">
        <f>BU21-$C$29</f>
        <v>-8.6378364610061042E-4</v>
      </c>
      <c r="BW30" s="139">
        <f>BW21-$C$29</f>
        <v>-2.4926633064984216E-2</v>
      </c>
      <c r="BX30" s="63"/>
      <c r="BY30" s="75">
        <f>BY21-$C$29</f>
        <v>4.8935529247057796E-3</v>
      </c>
      <c r="CA30" s="139">
        <f>CA21-$C$29</f>
        <v>-1.4553742146425658E-2</v>
      </c>
      <c r="CC30" s="75">
        <f>CC21-$C$29</f>
        <v>-1.9668656785407218E-3</v>
      </c>
    </row>
    <row r="31" spans="1:81" x14ac:dyDescent="0.3">
      <c r="A31" s="129" t="s">
        <v>119</v>
      </c>
      <c r="C31" s="118">
        <f>C27*C24</f>
        <v>476.30708907247885</v>
      </c>
      <c r="E31" s="63">
        <f>E27*E24</f>
        <v>1619.5261905194404</v>
      </c>
      <c r="G31" s="118">
        <f>G27*G24</f>
        <v>247.62991527902986</v>
      </c>
      <c r="I31" s="63">
        <f>I27*I24</f>
        <v>1377.6104819419174</v>
      </c>
      <c r="K31" s="118">
        <f>K27*K24</f>
        <v>382.35323007177379</v>
      </c>
      <c r="M31" s="63">
        <f>M27*M24</f>
        <v>1670.5491705626096</v>
      </c>
      <c r="O31" s="118">
        <f>O27*O24</f>
        <v>517.35635061640085</v>
      </c>
      <c r="Q31" s="63">
        <f>Q27*Q24</f>
        <v>1524.1057110379556</v>
      </c>
      <c r="S31" s="118">
        <f>S27*S24</f>
        <v>129.49937833408049</v>
      </c>
      <c r="U31" s="63">
        <f>U27*U24</f>
        <v>202.49148401694811</v>
      </c>
      <c r="W31" s="63">
        <f>W27*W24</f>
        <v>207.4482487885673</v>
      </c>
      <c r="Y31" s="118">
        <f>Y27*Y24</f>
        <v>2176.653131880656</v>
      </c>
      <c r="AA31" s="63">
        <f>AA27*AA24</f>
        <v>225.64838841712873</v>
      </c>
      <c r="AC31" s="118">
        <f>AC27*AC24</f>
        <v>2211.4272734152587</v>
      </c>
      <c r="AE31" s="63">
        <f>AE27*AE24</f>
        <v>299.90584430471648</v>
      </c>
      <c r="AG31" s="118">
        <f>AG27*AG24</f>
        <v>1545.4224443236444</v>
      </c>
      <c r="AH31" s="63"/>
      <c r="AI31" s="63">
        <f>AI27*AI24</f>
        <v>472.95775558607386</v>
      </c>
      <c r="AK31" s="118">
        <f>AK27*AK24</f>
        <v>1459.7926482780488</v>
      </c>
      <c r="AL31" s="63"/>
      <c r="AM31" s="63">
        <f>AM27*AM24</f>
        <v>198.51493724174003</v>
      </c>
      <c r="AO31" s="118">
        <f>AO27*AO24</f>
        <v>1508.2116888163318</v>
      </c>
      <c r="AP31" s="63"/>
      <c r="AQ31" s="63">
        <f>AQ27*AQ24</f>
        <v>282.7056156209141</v>
      </c>
      <c r="AS31" s="118">
        <f>AS27*AS24</f>
        <v>2189.9461809839358</v>
      </c>
      <c r="AT31" s="63"/>
      <c r="AU31" s="63">
        <f>AU27*AU24</f>
        <v>276.67289356830992</v>
      </c>
      <c r="AV31" s="63"/>
      <c r="AW31" s="63">
        <f>AW27*AW24</f>
        <v>282.7056156209141</v>
      </c>
      <c r="AY31" s="118">
        <f>AY27*AY24</f>
        <v>2199.5404039002851</v>
      </c>
      <c r="BA31" s="63">
        <f>BA27*BA24</f>
        <v>330.25357231289161</v>
      </c>
      <c r="BC31" s="63">
        <f>BC27*BC24</f>
        <v>2384.5784031285011</v>
      </c>
      <c r="BE31" s="118">
        <f>BE27*BE24</f>
        <v>423.74110323172454</v>
      </c>
      <c r="BG31" s="63">
        <f>BG27*BG24</f>
        <v>2292.0284951906983</v>
      </c>
      <c r="BI31" s="118">
        <f>BI27*BI24</f>
        <v>653.51584814375849</v>
      </c>
      <c r="BK31" s="63">
        <f>BK27*BK24</f>
        <v>2386.2348889677223</v>
      </c>
      <c r="BM31" s="118">
        <f>BM27*BM24</f>
        <v>589.08756662777671</v>
      </c>
      <c r="BO31" s="63">
        <f>BO27*BO24</f>
        <v>2347.4907482669778</v>
      </c>
      <c r="BQ31" s="118">
        <f>BQ27*BQ24</f>
        <v>422.2726727837005</v>
      </c>
      <c r="BS31" s="118">
        <f>BS27*BS24</f>
        <v>420.20906350863066</v>
      </c>
      <c r="BT31" s="63"/>
      <c r="BU31" s="63">
        <f>BU27*BU24</f>
        <v>2079.6911105686527</v>
      </c>
      <c r="BW31" s="118">
        <f>BW27*BW24</f>
        <v>275.35644264866488</v>
      </c>
      <c r="BX31" s="63"/>
      <c r="BY31" s="63">
        <f>BY27*BY24</f>
        <v>2189.5687664755833</v>
      </c>
      <c r="CA31" s="118">
        <f>CA27*CA24</f>
        <v>200.23387382191081</v>
      </c>
      <c r="CC31" s="63">
        <f>CC27*CC24</f>
        <v>1589.6955496538621</v>
      </c>
    </row>
    <row r="32" spans="1:81" x14ac:dyDescent="0.3">
      <c r="A32" s="261" t="s">
        <v>120</v>
      </c>
      <c r="C32" s="139">
        <f>MOD(SUM(B31:S31)/SUM(B27:S27),360)</f>
        <v>192.66292491114791</v>
      </c>
      <c r="G32" s="139"/>
      <c r="K32" s="139"/>
      <c r="O32" s="139"/>
      <c r="S32" s="139"/>
      <c r="Y32" s="139">
        <f>SUM(X31:Y31,AB31:AC31)/SUM(X27:Y27,AB27:AC27)</f>
        <v>269.70981070592865</v>
      </c>
      <c r="AC32" s="139"/>
      <c r="AE32" s="63"/>
      <c r="AG32" s="139">
        <f>SUM(AF31:AO31)/SUM(AF27:AO27)</f>
        <v>188.20352789317258</v>
      </c>
      <c r="AH32" s="63"/>
      <c r="AI32" s="63"/>
      <c r="AK32" s="139"/>
      <c r="AL32" s="63"/>
      <c r="AM32" s="63"/>
      <c r="AO32" s="139"/>
      <c r="AP32" s="63"/>
      <c r="AQ32" s="139">
        <f>SUM(AP31:BU31,BY31)/SUM(AP27:BU27,BY27)</f>
        <v>274.30935758883567</v>
      </c>
      <c r="AS32" s="139"/>
      <c r="AT32" s="63"/>
      <c r="AU32" s="63"/>
      <c r="AV32" s="63"/>
      <c r="AW32" s="63"/>
      <c r="AY32" s="139"/>
      <c r="BA32" s="63"/>
      <c r="BC32" s="139"/>
      <c r="BG32" s="139"/>
      <c r="BI32" s="139"/>
      <c r="BK32" s="139"/>
      <c r="BM32" s="139"/>
      <c r="BO32" s="63"/>
      <c r="BQ32" s="139"/>
      <c r="BS32" s="139"/>
      <c r="BT32" s="63"/>
      <c r="BU32" s="63"/>
      <c r="BW32" s="139"/>
      <c r="BX32" s="63"/>
      <c r="BY32" s="63"/>
      <c r="CA32" s="139">
        <f>MOD(SUM(BZ31:CC31)/SUM(BZ27:CC27),360)</f>
        <v>199.731177710693</v>
      </c>
      <c r="CC32" s="63"/>
    </row>
    <row r="33" spans="1:81" x14ac:dyDescent="0.3">
      <c r="A33" s="118" t="s">
        <v>121</v>
      </c>
      <c r="C33" s="139">
        <f>C24-$C$32</f>
        <v>0.68008558269247033</v>
      </c>
      <c r="E33" s="75">
        <f>E24-$C$32</f>
        <v>-0.54908196558358213</v>
      </c>
      <c r="G33" s="139">
        <f>G24-$G32</f>
        <v>192.37199765154566</v>
      </c>
      <c r="I33" s="139">
        <f>I24-$G32</f>
        <v>193.55261022038789</v>
      </c>
      <c r="K33" s="139">
        <f>K24-$C$32</f>
        <v>-1.1988981143330193</v>
      </c>
      <c r="M33" s="75">
        <f>M24-$C$32</f>
        <v>1.6149787704785865</v>
      </c>
      <c r="O33" s="139">
        <f>O24-$G32</f>
        <v>193.00848342150172</v>
      </c>
      <c r="Q33" s="139">
        <f>Q24-$G32</f>
        <v>192.85928600251219</v>
      </c>
      <c r="S33" s="139">
        <f>S24-$C32</f>
        <v>-22.327976088225881</v>
      </c>
      <c r="U33" s="75">
        <f>U24-$C$32</f>
        <v>73.681029869268627</v>
      </c>
      <c r="W33" s="75">
        <f>W24-$C$32</f>
        <v>80.200831620925555</v>
      </c>
      <c r="Y33" s="139">
        <f>Y24-$Y32</f>
        <v>0.39342482111607069</v>
      </c>
      <c r="AA33" s="139">
        <f>AA24-$G32</f>
        <v>269.70140948635185</v>
      </c>
      <c r="AC33" s="139">
        <f>AC24-$Y32</f>
        <v>-0.38612070474164284</v>
      </c>
      <c r="AE33" s="139">
        <f>AE24-$G32</f>
        <v>358.45604521958347</v>
      </c>
      <c r="AG33" s="139">
        <f>AG24-$Y32</f>
        <v>-81.497030516642781</v>
      </c>
      <c r="AH33" s="63"/>
      <c r="AI33" s="139">
        <f>AI24-$G32</f>
        <v>188.4308801610197</v>
      </c>
      <c r="AK33" s="139">
        <f>AK24-$Y32</f>
        <v>-81.799592391031695</v>
      </c>
      <c r="AL33" s="63"/>
      <c r="AM33" s="139">
        <f>AM24-$G32</f>
        <v>187.91484646876603</v>
      </c>
      <c r="AO33" s="139">
        <f>AO24-$Y32</f>
        <v>-81.264269309243332</v>
      </c>
      <c r="AP33" s="63"/>
      <c r="AQ33" s="139">
        <f>AQ24-$G32</f>
        <v>267.61</v>
      </c>
      <c r="AS33" s="139">
        <f>AS24-$Y32</f>
        <v>3.9159652811301271</v>
      </c>
      <c r="AT33" s="63"/>
      <c r="AU33" s="139">
        <f>AU24-$G32</f>
        <v>261.89940686250037</v>
      </c>
      <c r="AV33" s="63"/>
      <c r="AW33" s="139">
        <f>AW24-$G32</f>
        <v>267.61</v>
      </c>
      <c r="AY33" s="139">
        <f>AY24-$Y32</f>
        <v>5.1147283892259452</v>
      </c>
      <c r="BA33" s="139">
        <f>BA24-$G32</f>
        <v>274.45000503949421</v>
      </c>
      <c r="BC33" s="75">
        <f>BC24-$C$32</f>
        <v>82.437704714196798</v>
      </c>
      <c r="BE33" s="139">
        <f>BE24-$C$32</f>
        <v>83.637742686638717</v>
      </c>
      <c r="BG33" s="75">
        <f>BG24-$C$32</f>
        <v>81.823545163838787</v>
      </c>
      <c r="BI33" s="139">
        <f>BI24-$C$32</f>
        <v>82.224610405984151</v>
      </c>
      <c r="BK33" s="75">
        <f>BK24-$C$32</f>
        <v>82.628807802582287</v>
      </c>
      <c r="BM33" s="139">
        <f>BM24-$C$32</f>
        <v>80.666883777255975</v>
      </c>
      <c r="BO33" s="75">
        <f>BO24-$C$32</f>
        <v>82.379526158022998</v>
      </c>
      <c r="BQ33" s="139">
        <f>BQ24-$C$32</f>
        <v>81.748461566654498</v>
      </c>
      <c r="BS33" s="139">
        <f>BS24-$C$32</f>
        <v>81.919015726191788</v>
      </c>
      <c r="BT33" s="63"/>
      <c r="BU33" s="75">
        <f>BU24-$C$32</f>
        <v>80.676503067562976</v>
      </c>
      <c r="BW33" s="139">
        <f>BW24-$C$32</f>
        <v>78.522228620086082</v>
      </c>
      <c r="BX33" s="63"/>
      <c r="BY33" s="75">
        <f>BY24-$C$32</f>
        <v>82.882392397714113</v>
      </c>
      <c r="CA33" s="139">
        <f>CA24-$C$32</f>
        <v>4.5376682263517409</v>
      </c>
      <c r="CC33" s="75">
        <f>CC24-$C$32</f>
        <v>7.3916115622302812</v>
      </c>
    </row>
    <row r="34" spans="1:81" s="164" customFormat="1" ht="75.75" customHeight="1" x14ac:dyDescent="0.3">
      <c r="A34" s="251" t="s">
        <v>40</v>
      </c>
      <c r="B34" s="384"/>
      <c r="C34" s="384"/>
      <c r="D34" s="65"/>
      <c r="E34" s="65"/>
      <c r="F34" s="384"/>
      <c r="G34" s="384"/>
      <c r="H34" s="65"/>
      <c r="I34" s="65"/>
      <c r="J34" s="384"/>
      <c r="K34" s="384"/>
      <c r="L34" s="65"/>
      <c r="M34" s="65"/>
      <c r="N34" s="384"/>
      <c r="O34" s="384"/>
      <c r="P34" s="65"/>
      <c r="Q34" s="65"/>
      <c r="T34" s="65"/>
      <c r="U34" s="65"/>
      <c r="V34" s="65"/>
      <c r="W34" s="65"/>
      <c r="X34" s="384"/>
      <c r="Y34" s="384"/>
      <c r="Z34" s="65"/>
      <c r="AA34" s="65"/>
      <c r="AH34" s="65"/>
      <c r="AI34" s="65"/>
      <c r="AL34" s="65"/>
      <c r="AM34" s="65"/>
      <c r="AP34" s="65"/>
      <c r="AQ34" s="65"/>
      <c r="AT34" s="65"/>
      <c r="AU34" s="65"/>
      <c r="AV34" s="65"/>
      <c r="AW34" s="65"/>
    </row>
    <row r="35" spans="1:81" s="127" customFormat="1" x14ac:dyDescent="0.3">
      <c r="A35" s="120" t="s">
        <v>54</v>
      </c>
      <c r="B35" s="120"/>
      <c r="C35" s="120"/>
      <c r="D35" s="67"/>
      <c r="E35" s="67"/>
      <c r="F35" s="120"/>
      <c r="G35" s="120"/>
      <c r="H35" s="67"/>
      <c r="I35" s="67"/>
      <c r="J35" s="120"/>
      <c r="K35" s="120"/>
      <c r="L35" s="67"/>
      <c r="M35" s="67"/>
      <c r="N35" s="120"/>
      <c r="O35" s="120"/>
      <c r="P35" s="67"/>
      <c r="Q35" s="67"/>
      <c r="R35" s="120"/>
      <c r="S35" s="120"/>
      <c r="T35" s="67"/>
      <c r="U35" s="67"/>
      <c r="V35" s="67"/>
      <c r="W35" s="67"/>
      <c r="X35" s="120"/>
      <c r="Y35" s="120"/>
      <c r="Z35" s="67"/>
      <c r="AA35" s="67"/>
      <c r="AH35" s="67"/>
      <c r="AI35" s="67"/>
      <c r="AL35" s="67"/>
      <c r="AM35" s="67"/>
      <c r="AP35" s="67"/>
      <c r="AQ35" s="67"/>
      <c r="AT35" s="67"/>
      <c r="AU35" s="67"/>
      <c r="AV35" s="67"/>
      <c r="AW35" s="67"/>
    </row>
    <row r="36" spans="1:81" x14ac:dyDescent="0.3">
      <c r="A36" s="139" t="s">
        <v>42</v>
      </c>
      <c r="C36" s="147">
        <f>C8*$C29</f>
        <v>6.177194543162889</v>
      </c>
      <c r="G36" s="147">
        <f>G8*$C29</f>
        <v>1.5510519410970744</v>
      </c>
      <c r="K36" s="147">
        <f>K8*$C29</f>
        <v>4.0250841223986074</v>
      </c>
      <c r="O36" s="147">
        <f>O8*$C29</f>
        <v>7.1180520068499673</v>
      </c>
      <c r="S36" s="166">
        <f>S8*$C29</f>
        <v>0.52387529196699723</v>
      </c>
      <c r="U36" s="166">
        <f>U8*$C29</f>
        <v>0.50043116999176296</v>
      </c>
      <c r="W36" s="166">
        <f>W8*$C29</f>
        <v>0.48298915443670221</v>
      </c>
      <c r="Y36" s="141"/>
      <c r="AA36" s="166">
        <f>AA8*$C29</f>
        <v>0.63082938757130247</v>
      </c>
      <c r="AD36" s="63"/>
      <c r="AE36" s="166">
        <f>AE8*$C29</f>
        <v>1.0008623399835259</v>
      </c>
      <c r="AH36" s="63"/>
      <c r="AI36" s="166">
        <f>AI8*$C29</f>
        <v>6.3614775783600219</v>
      </c>
      <c r="AL36" s="63"/>
      <c r="AM36" s="166">
        <f>AM8*$C29</f>
        <v>1.309688229917493</v>
      </c>
      <c r="AP36" s="63"/>
      <c r="AQ36" s="166">
        <f>AQ8*$C29</f>
        <v>1.0542786881136799</v>
      </c>
      <c r="AT36" s="63"/>
      <c r="AU36" s="166">
        <f>AU8*$C29</f>
        <v>1.1772632983934428</v>
      </c>
      <c r="AV36" s="63"/>
      <c r="AW36" s="166">
        <f>AW8*$C29</f>
        <v>1.2885628410278307</v>
      </c>
      <c r="AZ36" s="63"/>
      <c r="BA36" s="166">
        <f>BA8*$C29</f>
        <v>1.2419981240031133</v>
      </c>
      <c r="BE36" s="147">
        <f>BE8*$C29</f>
        <v>2.3441737147216015</v>
      </c>
      <c r="BI36" s="147">
        <f>BI8*$C29</f>
        <v>5.5888668210595389</v>
      </c>
      <c r="BM36" s="147">
        <f>BM8*$C29</f>
        <v>4.7428067936492404</v>
      </c>
      <c r="BQ36" s="147">
        <f>BQ8*$C29</f>
        <v>2.2914048511617446</v>
      </c>
      <c r="BS36" s="147">
        <f>BS8*$C29</f>
        <v>2.2380463251542517</v>
      </c>
      <c r="BW36" s="147">
        <f>BW8*$C29</f>
        <v>1.309688229917493</v>
      </c>
      <c r="CA36" s="147">
        <f>CA8*$C29</f>
        <v>1.1772632983934428</v>
      </c>
    </row>
    <row r="37" spans="1:81" x14ac:dyDescent="0.3">
      <c r="A37" s="118" t="s">
        <v>50</v>
      </c>
      <c r="C37" s="141">
        <f>C36-C16</f>
        <v>0.10819454316288901</v>
      </c>
      <c r="G37" s="141">
        <f>G36-G16</f>
        <v>-0.10594805890292558</v>
      </c>
      <c r="K37" s="141">
        <f>K36-K16</f>
        <v>3.7084122398607366E-2</v>
      </c>
      <c r="O37" s="141">
        <f>O36-O16</f>
        <v>-6.6947993150032303E-2</v>
      </c>
      <c r="S37" s="141">
        <f>S36-S16</f>
        <v>-5.4124708033002733E-2</v>
      </c>
      <c r="U37" s="141">
        <f>U36-U16</f>
        <v>-7.7568830008237E-2</v>
      </c>
      <c r="W37" s="141">
        <f>W36-W16</f>
        <v>-9.5010845563297752E-2</v>
      </c>
      <c r="Y37" s="141"/>
      <c r="AA37" s="141">
        <f>AA36-AA16</f>
        <v>-6.9170612428697487E-2</v>
      </c>
      <c r="AD37" s="63"/>
      <c r="AE37" s="141">
        <f>AE36-AE16</f>
        <v>0.30086233998352596</v>
      </c>
      <c r="AH37" s="63"/>
      <c r="AI37" s="141">
        <f>AI36-AI16</f>
        <v>6.14775783600221E-2</v>
      </c>
      <c r="AL37" s="63"/>
      <c r="AM37" s="141">
        <f>AM36-AM16</f>
        <v>0.1936882299174929</v>
      </c>
      <c r="AP37" s="63"/>
      <c r="AQ37" s="141">
        <f>AQ36-AQ16</f>
        <v>-6.172131188632024E-2</v>
      </c>
      <c r="AT37" s="63"/>
      <c r="AU37" s="141">
        <f>AU36-AU16</f>
        <v>6.1263298393442689E-2</v>
      </c>
      <c r="AV37" s="63"/>
      <c r="AW37" s="141">
        <f>AW36-AW16</f>
        <v>0.17256284102783059</v>
      </c>
      <c r="AZ37" s="63"/>
      <c r="BA37" s="141">
        <f>BA36-BA16</f>
        <v>-0.20600187599688669</v>
      </c>
      <c r="BE37" s="141">
        <f>BE36-BE16</f>
        <v>-7.8262852783983483E-3</v>
      </c>
      <c r="BI37" s="141">
        <f>BI36-BI16</f>
        <v>-6.3133178940461221E-2</v>
      </c>
      <c r="BM37" s="141">
        <f>BM36-BM16</f>
        <v>9.7806793649240831E-2</v>
      </c>
      <c r="BQ37" s="141">
        <f>BQ36-BQ16</f>
        <v>-7.6595148838255245E-2</v>
      </c>
      <c r="BS37" s="141">
        <f>BS36-BS16</f>
        <v>-0.10395367484574836</v>
      </c>
      <c r="BW37" s="141">
        <f>BW36-BW16</f>
        <v>0.27868822991749309</v>
      </c>
      <c r="CA37" s="141">
        <f>CA36-CA16</f>
        <v>0.14626329839344288</v>
      </c>
    </row>
    <row r="38" spans="1:81" x14ac:dyDescent="0.3">
      <c r="A38" s="118" t="s">
        <v>51</v>
      </c>
      <c r="C38" s="142">
        <f>C37/C16</f>
        <v>1.7827408660881366E-2</v>
      </c>
      <c r="G38" s="142">
        <f>G37/G16</f>
        <v>-6.3939685517758346E-2</v>
      </c>
      <c r="K38" s="142">
        <f>K37/K16</f>
        <v>9.298927381797233E-3</v>
      </c>
      <c r="O38" s="142">
        <f>O37/O16</f>
        <v>-9.3177443493433973E-3</v>
      </c>
      <c r="S38" s="142">
        <f>S37/S16</f>
        <v>-9.3641363378897474E-2</v>
      </c>
      <c r="U38" s="142">
        <f>U37/U16</f>
        <v>-0.13420212804193254</v>
      </c>
      <c r="W38" s="142">
        <f>W37/W16</f>
        <v>-0.16437862554203764</v>
      </c>
      <c r="Y38" s="142"/>
      <c r="AA38" s="142">
        <f>AA37/AA16</f>
        <v>-9.8815160612424985E-2</v>
      </c>
      <c r="AD38" s="63"/>
      <c r="AE38" s="142">
        <f>AE37/AE16</f>
        <v>0.42980334283360855</v>
      </c>
      <c r="AH38" s="63"/>
      <c r="AI38" s="142">
        <f>AI37/AI16</f>
        <v>9.7583457714320795E-3</v>
      </c>
      <c r="AL38" s="63"/>
      <c r="AM38" s="142">
        <f>AM37/AM16</f>
        <v>0.17355576157481442</v>
      </c>
      <c r="AP38" s="63"/>
      <c r="AQ38" s="142">
        <f>AQ37/AQ16</f>
        <v>-5.5305835023584438E-2</v>
      </c>
      <c r="AT38" s="63"/>
      <c r="AU38" s="142">
        <f>AU37/AU16</f>
        <v>5.4895428667959392E-2</v>
      </c>
      <c r="AV38" s="63"/>
      <c r="AW38" s="142">
        <f>AW37/AW16</f>
        <v>0.15462620163784102</v>
      </c>
      <c r="AZ38" s="63"/>
      <c r="BA38" s="142">
        <f>BA37/BA16</f>
        <v>-0.14226648894812616</v>
      </c>
      <c r="BE38" s="142">
        <f>BE37/BE16</f>
        <v>-3.3275022442169852E-3</v>
      </c>
      <c r="BI38" s="142">
        <f>BI37/BI16</f>
        <v>-1.117005996823447E-2</v>
      </c>
      <c r="BM38" s="142">
        <f>BM37/BM16</f>
        <v>2.1056360312000182E-2</v>
      </c>
      <c r="BQ38" s="142">
        <f>BQ37/BQ16</f>
        <v>-3.2345924340479414E-2</v>
      </c>
      <c r="BS38" s="142">
        <f>BS37/BS16</f>
        <v>-4.4386710010994174E-2</v>
      </c>
      <c r="BW38" s="142">
        <f>BW37/BW16</f>
        <v>0.27030866141366938</v>
      </c>
      <c r="CA38" s="142">
        <f>CA37/CA16</f>
        <v>0.14186546885881948</v>
      </c>
    </row>
    <row r="39" spans="1:81" x14ac:dyDescent="0.3">
      <c r="A39" s="74" t="s">
        <v>53</v>
      </c>
      <c r="B39" s="118">
        <f>AVERAGE(B37:E37)</f>
        <v>0.10819454316288901</v>
      </c>
      <c r="C39" s="142">
        <f>AVERAGE(C38:E38)</f>
        <v>1.7827408660881366E-2</v>
      </c>
      <c r="G39" s="142">
        <f>AVERAGE(G38:K38)</f>
        <v>-2.7320379067980557E-2</v>
      </c>
      <c r="J39" s="118">
        <f>AVERAGE(J37:M37)</f>
        <v>3.7084122398607366E-2</v>
      </c>
      <c r="K39" s="142">
        <f>AVERAGE(K38:M38)</f>
        <v>9.298927381797233E-3</v>
      </c>
      <c r="O39" s="142">
        <f>AVERAGE(O38:S38)</f>
        <v>-5.1479553864120439E-2</v>
      </c>
      <c r="S39" s="142"/>
      <c r="U39" s="142"/>
      <c r="W39" s="142"/>
      <c r="Y39" s="142"/>
      <c r="AA39" s="142"/>
      <c r="AD39" s="63"/>
      <c r="AE39" s="142"/>
      <c r="AH39" s="63"/>
      <c r="AI39" s="142"/>
      <c r="AL39" s="63"/>
      <c r="AM39" s="142"/>
      <c r="AP39" s="63"/>
      <c r="AQ39" s="142"/>
      <c r="AT39" s="63"/>
      <c r="AU39" s="142"/>
      <c r="AV39" s="63"/>
      <c r="AW39" s="142"/>
      <c r="AZ39" s="63"/>
      <c r="BA39" s="142"/>
      <c r="BD39" s="118">
        <f>AVERAGE(BD37:BG37)</f>
        <v>-7.8262852783983483E-3</v>
      </c>
      <c r="BE39" s="142">
        <f>AVERAGE(BE38:BG38)</f>
        <v>-3.3275022442169852E-3</v>
      </c>
      <c r="BH39" s="118">
        <f>AVERAGE(BH37:BK37)</f>
        <v>-6.3133178940461221E-2</v>
      </c>
      <c r="BI39" s="142">
        <f>AVERAGE(BI38:BK38)</f>
        <v>-1.117005996823447E-2</v>
      </c>
      <c r="BL39" s="118">
        <f>AVERAGE(BL37:BO37)</f>
        <v>9.7806793649240831E-2</v>
      </c>
      <c r="BM39" s="142">
        <f>AVERAGE(BM38:BO38)</f>
        <v>2.1056360312000182E-2</v>
      </c>
      <c r="BP39" s="118">
        <f>AVERAGE(BP37:BS37)</f>
        <v>-9.02744118420018E-2</v>
      </c>
      <c r="BQ39" s="142">
        <f>AVERAGE(BQ38:BS38)</f>
        <v>-3.8366317175736797E-2</v>
      </c>
      <c r="BR39" s="118">
        <f>AVERAGE(BR37:BU37)</f>
        <v>-0.10395367484574836</v>
      </c>
      <c r="BS39" s="142">
        <f>AVERAGE(BS38:BU38)</f>
        <v>-4.4386710010994174E-2</v>
      </c>
      <c r="BV39" s="118">
        <f>AVERAGE(BV37:BY37)</f>
        <v>0.27868822991749309</v>
      </c>
      <c r="BW39" s="142">
        <f>AVERAGE(BW38:BY38)</f>
        <v>0.27030866141366938</v>
      </c>
      <c r="BZ39" s="118">
        <f>AVERAGE(BZ37:CC37)</f>
        <v>0.14626329839344288</v>
      </c>
      <c r="CA39" s="142">
        <f>AVERAGE(CA38:CC38)</f>
        <v>0.14186546885881948</v>
      </c>
    </row>
    <row r="40" spans="1:81" x14ac:dyDescent="0.3">
      <c r="A40" s="74" t="s">
        <v>52</v>
      </c>
      <c r="B40" s="118">
        <f>STDEV(B37:G37)</f>
        <v>0.15142168606166986</v>
      </c>
      <c r="C40" s="142">
        <f>STDEV(C38:G38)</f>
        <v>5.7818066771635222E-2</v>
      </c>
      <c r="G40" s="142">
        <f>STDEV(G38:K38)</f>
        <v>5.1787519825972309E-2</v>
      </c>
      <c r="J40" s="118">
        <f>STDEV(J37:O37)</f>
        <v>7.3561814365625575E-2</v>
      </c>
      <c r="K40" s="142">
        <f>STDEV(K38:O38)</f>
        <v>1.3163974824213442E-2</v>
      </c>
      <c r="O40" s="142">
        <f>STDEV(O38:S38)</f>
        <v>5.9625802829988694E-2</v>
      </c>
      <c r="S40" s="142"/>
      <c r="U40" s="142"/>
      <c r="W40" s="142"/>
      <c r="Y40" s="142"/>
      <c r="AA40" s="142"/>
      <c r="AD40" s="63"/>
      <c r="AE40" s="142"/>
      <c r="AH40" s="63"/>
      <c r="AI40" s="142"/>
      <c r="AL40" s="63"/>
      <c r="AM40" s="142"/>
      <c r="AP40" s="63"/>
      <c r="AQ40" s="142"/>
      <c r="AT40" s="63"/>
      <c r="AU40" s="142"/>
      <c r="AV40" s="63"/>
      <c r="AW40" s="142"/>
      <c r="AZ40" s="63"/>
      <c r="BA40" s="142"/>
      <c r="BD40" s="118">
        <f>STDEV(BD37:BI37)</f>
        <v>3.9107879554807955E-2</v>
      </c>
      <c r="BE40" s="142">
        <f>STDEV(BE38:BI38)</f>
        <v>5.5455257484997005E-3</v>
      </c>
      <c r="BH40" s="118">
        <f>STDEV(BH37:BM37)</f>
        <v>0.11380174598215541</v>
      </c>
      <c r="BI40" s="142">
        <f>STDEV(BI38:BM38)</f>
        <v>2.2787520313521603E-2</v>
      </c>
      <c r="BL40" s="118">
        <f>STDEV(BL37:BQ37)</f>
        <v>0.12332079618501474</v>
      </c>
      <c r="BM40" s="142">
        <f>STDEV(BM38:BQ38)</f>
        <v>3.7761117608622614E-2</v>
      </c>
      <c r="BP40" s="118">
        <f>STDEV(BP37:BU37)</f>
        <v>1.9345399263166876E-2</v>
      </c>
      <c r="BQ40" s="142">
        <f>STDEV(BQ38:BU38)</f>
        <v>8.5141211984347525E-3</v>
      </c>
      <c r="BR40" s="118">
        <f>STDEV(BR37:BW37)</f>
        <v>0.27056868562422515</v>
      </c>
      <c r="BS40" s="142">
        <f>STDEV(BS38:BW38)</f>
        <v>0.22252323114239889</v>
      </c>
      <c r="BV40" s="118">
        <f>STDEV(BV37:CA37)</f>
        <v>9.3638567078820109E-2</v>
      </c>
      <c r="BW40" s="142">
        <f>STDEV(BW38:CA38)</f>
        <v>9.0823052452783923E-2</v>
      </c>
      <c r="BZ40" s="118" t="e">
        <f>STDEV(BZ37:CE37)</f>
        <v>#DIV/0!</v>
      </c>
      <c r="CA40" s="142" t="e">
        <f>STDEV(CA38:CE38)</f>
        <v>#DIV/0!</v>
      </c>
    </row>
    <row r="41" spans="1:81" x14ac:dyDescent="0.3">
      <c r="C41" s="142"/>
      <c r="G41" s="142"/>
      <c r="K41" s="142"/>
      <c r="O41" s="142"/>
      <c r="S41" s="142"/>
      <c r="U41" s="142"/>
      <c r="W41" s="142"/>
      <c r="Y41" s="142"/>
      <c r="AA41" s="142"/>
      <c r="AD41" s="63"/>
      <c r="AE41" s="142"/>
      <c r="AH41" s="63"/>
      <c r="AI41" s="142"/>
      <c r="AL41" s="63"/>
      <c r="AM41" s="142"/>
      <c r="AP41" s="63"/>
      <c r="AQ41" s="142"/>
      <c r="AT41" s="63"/>
      <c r="AU41" s="142"/>
      <c r="AV41" s="63"/>
      <c r="AW41" s="142"/>
      <c r="AZ41" s="63"/>
      <c r="BA41" s="142"/>
      <c r="BE41" s="142"/>
      <c r="BI41" s="142"/>
      <c r="BM41" s="142"/>
      <c r="BQ41" s="142"/>
      <c r="BS41" s="142"/>
      <c r="BW41" s="142"/>
      <c r="CA41" s="142"/>
    </row>
    <row r="42" spans="1:81" x14ac:dyDescent="0.3">
      <c r="A42" s="139" t="s">
        <v>43</v>
      </c>
      <c r="C42" s="141">
        <f>MOD(C9-$C32,360)</f>
        <v>309.61008558269248</v>
      </c>
      <c r="E42" s="141"/>
      <c r="G42" s="141">
        <f>MOD(G9-$C32,360)</f>
        <v>58.939072740397734</v>
      </c>
      <c r="I42" s="141"/>
      <c r="K42" s="141">
        <f>MOD(K9-$C32,360)</f>
        <v>171.50110188566697</v>
      </c>
      <c r="M42" s="141"/>
      <c r="O42" s="141">
        <f>MOD(O9-$C32,360)</f>
        <v>237.75555851035381</v>
      </c>
      <c r="Q42" s="141"/>
      <c r="S42" s="167">
        <f>MOD(S9-$C32,360)</f>
        <v>140.77202391177411</v>
      </c>
      <c r="U42" s="167">
        <f>MOD(U9-$Y32,360)</f>
        <v>159.73414407448792</v>
      </c>
      <c r="W42" s="167">
        <f>MOD(W9-$Y32,360)</f>
        <v>166.25394582614484</v>
      </c>
      <c r="Y42" s="141"/>
      <c r="AA42" s="167">
        <f>MOD(AA9-$Y32,360)</f>
        <v>112.09159878042317</v>
      </c>
      <c r="AD42" s="63"/>
      <c r="AE42" s="167">
        <f>MOD(AE9-$AG32,360)</f>
        <v>282.35251732641086</v>
      </c>
      <c r="AH42" s="63"/>
      <c r="AI42" s="167">
        <f>MOD(AI9-$AG32,360)</f>
        <v>305.2273522678471</v>
      </c>
      <c r="AL42" s="63"/>
      <c r="AM42" s="167">
        <f>MOD(AM9-$AG32,360)</f>
        <v>182.10131857559344</v>
      </c>
      <c r="AP42" s="63"/>
      <c r="AQ42" s="167">
        <f>MOD(AQ9-$AQ32,360)</f>
        <v>175.69064241116433</v>
      </c>
      <c r="AT42" s="63"/>
      <c r="AU42" s="167">
        <f>MOD(AU9-$AQ32,360)</f>
        <v>169.98004927366469</v>
      </c>
      <c r="AV42" s="63"/>
      <c r="AW42" s="167">
        <f>MOD(AW9-$AQ32,360)</f>
        <v>175.69064241116433</v>
      </c>
      <c r="AZ42" s="63"/>
      <c r="BA42" s="167">
        <f>MOD(BA9-$AQ32,360)</f>
        <v>36.820647450658555</v>
      </c>
      <c r="BE42" s="141">
        <f>MOD(BE9-$AQ32,360)</f>
        <v>8.671310008950968</v>
      </c>
      <c r="BI42" s="141">
        <f>MOD(BI9-$AQ32,360)</f>
        <v>132.76817772829639</v>
      </c>
      <c r="BM42" s="141">
        <f>MOD(BM9-$AQ32,360)</f>
        <v>102.62045109956824</v>
      </c>
      <c r="BQ42" s="141">
        <f>MOD(BQ9-$AQ32,360)</f>
        <v>78.522028888966759</v>
      </c>
      <c r="BS42" s="141">
        <f>MOD(BS9-$AQ32,360)</f>
        <v>348.03258304850402</v>
      </c>
      <c r="BW42" s="141">
        <f>MOD(BW9-$AQ32,360)</f>
        <v>255.38579594239832</v>
      </c>
      <c r="CA42" s="141">
        <f>MOD(CA9-$CA32,360)</f>
        <v>255.97941542680664</v>
      </c>
    </row>
    <row r="43" spans="1:81" x14ac:dyDescent="0.3">
      <c r="A43" s="118" t="s">
        <v>55</v>
      </c>
      <c r="C43" s="141">
        <f>C42-C17</f>
        <v>0.68008558269247033</v>
      </c>
      <c r="E43" s="141"/>
      <c r="G43" s="141">
        <f>G42-G17</f>
        <v>-0.29092725960226318</v>
      </c>
      <c r="I43" s="141"/>
      <c r="K43" s="141">
        <f>K42-K17</f>
        <v>-1.1988981143330193</v>
      </c>
      <c r="M43" s="141"/>
      <c r="O43" s="141">
        <f>O42-O17</f>
        <v>0.34555851035381124</v>
      </c>
      <c r="Q43" s="141"/>
      <c r="S43" s="141">
        <f>S42-S17</f>
        <v>-22.327976088225881</v>
      </c>
      <c r="U43" s="141">
        <f>U42-U17</f>
        <v>-3.3658559255120792</v>
      </c>
      <c r="W43" s="141">
        <f>W42-W17</f>
        <v>3.1539458261448488</v>
      </c>
      <c r="Y43" s="141"/>
      <c r="AA43" s="141">
        <f>AA42-AA17</f>
        <v>-8.4012195768252695E-3</v>
      </c>
      <c r="AD43" s="63"/>
      <c r="AE43" s="141">
        <f>AE42-AE17</f>
        <v>170.25251732641087</v>
      </c>
      <c r="AH43" s="63"/>
      <c r="AI43" s="141">
        <f>AI42-AI17</f>
        <v>0.22735226784709539</v>
      </c>
      <c r="AL43" s="63"/>
      <c r="AM43" s="141">
        <f>AM42-AM17</f>
        <v>-0.28868142440654765</v>
      </c>
      <c r="AP43" s="63"/>
      <c r="AQ43" s="141">
        <f>AQ42-AQ17</f>
        <v>-6.6993575888356531</v>
      </c>
      <c r="AT43" s="63"/>
      <c r="AU43" s="141">
        <f>AU42-AU17</f>
        <v>-12.409950726335296</v>
      </c>
      <c r="AV43" s="63"/>
      <c r="AW43" s="141">
        <f>AW42-AW17</f>
        <v>-6.6993575888356531</v>
      </c>
      <c r="AZ43" s="63"/>
      <c r="BA43" s="141">
        <f>BA42-BA17</f>
        <v>0.14064745065855533</v>
      </c>
      <c r="BE43" s="141">
        <f>BE42-BE17</f>
        <v>1.9913100089509683</v>
      </c>
      <c r="BI43" s="141">
        <f>BI42-BI17</f>
        <v>0.5781777282963958</v>
      </c>
      <c r="BM43" s="141">
        <f>BM42-BM17</f>
        <v>-0.97954890043175169</v>
      </c>
      <c r="BQ43" s="141">
        <f>BQ42-BQ17</f>
        <v>0.10202888896675688</v>
      </c>
      <c r="BS43" s="141">
        <f>BS42-BS17</f>
        <v>0.27258304850403192</v>
      </c>
      <c r="BW43" s="141">
        <f>BW42-BW17</f>
        <v>-3.1242040576016734</v>
      </c>
      <c r="CA43" s="141">
        <f>CA42-CA17</f>
        <v>-2.5305845731933516</v>
      </c>
    </row>
    <row r="44" spans="1:81" x14ac:dyDescent="0.3">
      <c r="A44" s="118" t="s">
        <v>56</v>
      </c>
      <c r="B44" s="118">
        <f>AVERAGE(B43:G43)</f>
        <v>0.19457916154510357</v>
      </c>
      <c r="C44" s="141"/>
      <c r="E44" s="101"/>
      <c r="G44" s="141"/>
      <c r="I44" s="101"/>
      <c r="J44" s="118">
        <f>AVERAGE(J43:O43)</f>
        <v>-0.42666980198960403</v>
      </c>
      <c r="K44" s="141"/>
      <c r="M44" s="101"/>
      <c r="O44" s="141"/>
      <c r="Q44" s="101"/>
      <c r="S44" s="141"/>
      <c r="U44" s="101"/>
      <c r="W44" s="101"/>
      <c r="Y44" s="141"/>
      <c r="AA44" s="101"/>
      <c r="AD44" s="63"/>
      <c r="AE44" s="101"/>
      <c r="AH44" s="63"/>
      <c r="AI44" s="101"/>
      <c r="AL44" s="63"/>
      <c r="AM44" s="101"/>
      <c r="AP44" s="63"/>
      <c r="AQ44" s="101"/>
      <c r="AT44" s="63"/>
      <c r="AU44" s="101"/>
      <c r="AV44" s="63"/>
      <c r="AW44" s="101"/>
      <c r="AZ44" s="63"/>
      <c r="BA44" s="101"/>
      <c r="BD44" s="118">
        <f>AVERAGE(BD43:BI43)</f>
        <v>1.2847438686236821</v>
      </c>
      <c r="BE44" s="141"/>
      <c r="BH44" s="118">
        <f>AVERAGE(BH43:BM43)</f>
        <v>-0.20068558606767795</v>
      </c>
      <c r="BI44" s="141"/>
      <c r="BL44" s="118">
        <f>AVERAGE(BL43:BQ43)</f>
        <v>-0.4387600057324974</v>
      </c>
      <c r="BM44" s="141"/>
      <c r="BP44" s="118">
        <f>AVERAGE(BP43:BU43)</f>
        <v>0.1873059687353944</v>
      </c>
      <c r="BQ44" s="141"/>
      <c r="BR44" s="118">
        <f>AVERAGE(BR43:BW43)</f>
        <v>-1.4258105045488207</v>
      </c>
      <c r="BS44" s="141"/>
      <c r="BV44" s="118">
        <f>AVERAGE(BV43:CA43)</f>
        <v>-2.8273943153975125</v>
      </c>
      <c r="BW44" s="141"/>
      <c r="BZ44" s="118">
        <f>AVERAGE(BZ43:CE43)</f>
        <v>-2.5305845731933516</v>
      </c>
      <c r="CA44" s="141"/>
    </row>
    <row r="45" spans="1:81" x14ac:dyDescent="0.3">
      <c r="A45" s="118" t="s">
        <v>57</v>
      </c>
      <c r="B45" s="118">
        <f>STDEV(B43:G43)</f>
        <v>0.68660976540582974</v>
      </c>
      <c r="C45" s="141"/>
      <c r="G45" s="141"/>
      <c r="J45" s="118">
        <f>STDEV(J43:O43)</f>
        <v>1.0920957525645445</v>
      </c>
      <c r="K45" s="141"/>
      <c r="O45" s="141"/>
      <c r="S45" s="141"/>
      <c r="Y45" s="141"/>
      <c r="AD45" s="63"/>
      <c r="AE45" s="63"/>
      <c r="AH45" s="63"/>
      <c r="AI45" s="63"/>
      <c r="AL45" s="63"/>
      <c r="AM45" s="63"/>
      <c r="AP45" s="63"/>
      <c r="AQ45" s="63"/>
      <c r="AT45" s="63"/>
      <c r="AU45" s="63"/>
      <c r="AV45" s="63"/>
      <c r="AW45" s="63"/>
      <c r="AZ45" s="63"/>
      <c r="BA45" s="63"/>
      <c r="BD45" s="118">
        <f>STDEV(BD43:BI43)</f>
        <v>0.99923541836445973</v>
      </c>
      <c r="BE45" s="141"/>
      <c r="BH45" s="118">
        <f>STDEV(BH43:BM43)</f>
        <v>1.1014790624085327</v>
      </c>
      <c r="BI45" s="141"/>
      <c r="BL45" s="118">
        <f>STDEV(BL43:BQ43)</f>
        <v>0.764790989264441</v>
      </c>
      <c r="BM45" s="141"/>
      <c r="BP45" s="118">
        <f>STDEV(BP43:BU43)</f>
        <v>0.12060000276837943</v>
      </c>
      <c r="BQ45" s="141"/>
      <c r="BR45" s="118">
        <f>STDEV(BR43:BW43)</f>
        <v>2.4018911969743728</v>
      </c>
      <c r="BS45" s="141"/>
      <c r="BV45" s="118">
        <f>STDEV(BV43:CA43)</f>
        <v>0.419752362869588</v>
      </c>
      <c r="BW45" s="141"/>
      <c r="BZ45" s="118" t="e">
        <f>STDEV(BZ43:CE43)</f>
        <v>#DIV/0!</v>
      </c>
      <c r="CA45" s="141"/>
    </row>
    <row r="46" spans="1:81" x14ac:dyDescent="0.3">
      <c r="C46" s="141"/>
      <c r="G46" s="141"/>
      <c r="K46" s="141"/>
      <c r="O46" s="141"/>
      <c r="S46" s="141"/>
      <c r="Y46" s="141"/>
      <c r="AD46" s="63"/>
      <c r="AE46" s="63"/>
      <c r="AH46" s="63"/>
      <c r="AI46" s="63"/>
      <c r="AL46" s="63"/>
      <c r="AM46" s="63"/>
      <c r="AP46" s="63"/>
      <c r="AQ46" s="63"/>
      <c r="AT46" s="63"/>
      <c r="AU46" s="63"/>
      <c r="AV46" s="63"/>
      <c r="AW46" s="63"/>
      <c r="AZ46" s="63"/>
      <c r="BA46" s="63"/>
      <c r="BE46" s="141"/>
      <c r="BI46" s="141"/>
      <c r="BM46" s="141"/>
      <c r="BQ46" s="141"/>
      <c r="BS46" s="141"/>
      <c r="BW46" s="141"/>
      <c r="CA46" s="141"/>
    </row>
    <row r="47" spans="1:81" x14ac:dyDescent="0.3">
      <c r="A47" s="118" t="s">
        <v>44</v>
      </c>
      <c r="B47" s="72">
        <f>-C36*SIN((C42)/180*PI())</f>
        <v>4.758917021547747</v>
      </c>
      <c r="C47" s="72">
        <f>C36*COS((C42)/180*PI())</f>
        <v>3.9383297482694983</v>
      </c>
      <c r="F47" s="72">
        <f>-G36*SIN((G42)/180*PI())</f>
        <v>-1.3286607710712057</v>
      </c>
      <c r="G47" s="72">
        <f>G36*COS((G42)/180*PI())</f>
        <v>0.80026413102017213</v>
      </c>
      <c r="J47" s="72">
        <f>-K36*SIN((K42)/180*PI())</f>
        <v>-0.59486875549722251</v>
      </c>
      <c r="K47" s="72">
        <f>K36*COS((K42)/180*PI())</f>
        <v>-3.9808834893925935</v>
      </c>
      <c r="N47" s="72">
        <f>-O36*SIN((O42)/180*PI())</f>
        <v>6.0203030792419669</v>
      </c>
      <c r="O47" s="72">
        <f>O36*COS((O42)/180*PI())</f>
        <v>-3.7977118382376687</v>
      </c>
      <c r="R47" s="72">
        <f>-S36*SIN((S42)/180*PI())</f>
        <v>-0.33130272301414893</v>
      </c>
      <c r="S47" s="72">
        <f>S36*COS((S42)/180*PI())</f>
        <v>-0.40581255187206411</v>
      </c>
      <c r="T47" s="72">
        <f>-U36*SIN((U42)/180*PI())</f>
        <v>-0.17333768578610098</v>
      </c>
      <c r="U47" s="72">
        <f>U36*COS((U42)/180*PI())</f>
        <v>-0.4694522367458096</v>
      </c>
      <c r="V47" s="72">
        <f>-W36*SIN((W42)/180*PI())</f>
        <v>-0.11476739878165242</v>
      </c>
      <c r="W47" s="72">
        <f>W36*COS((W42)/180*PI())</f>
        <v>-0.46915558984240369</v>
      </c>
      <c r="X47" s="72"/>
      <c r="Y47" s="72"/>
      <c r="Z47" s="72">
        <f>-AA36*SIN((AA42)/180*PI())</f>
        <v>-0.5845162824308674</v>
      </c>
      <c r="AA47" s="72">
        <f>AA36*COS((AA42)/180*PI())</f>
        <v>-0.2372476170518536</v>
      </c>
      <c r="AD47" s="72">
        <f>-AE36*SIN((AE42)/180*PI())</f>
        <v>0.97769227704672146</v>
      </c>
      <c r="AE47" s="72">
        <f>AE36*COS((AE42)/180*PI())</f>
        <v>0.21411033370787133</v>
      </c>
      <c r="AH47" s="72">
        <f>-AI36*SIN((AI42)/180*PI())</f>
        <v>5.1964977966443033</v>
      </c>
      <c r="AI47" s="72">
        <f>AI36*COS((AI42)/180*PI())</f>
        <v>3.6694424139708466</v>
      </c>
      <c r="AL47" s="72">
        <f>-AM36*SIN((AM42)/180*PI())</f>
        <v>4.8021954229392809E-2</v>
      </c>
      <c r="AM47" s="72">
        <f>AM36*COS((AM42)/180*PI())</f>
        <v>-1.3088075303482962</v>
      </c>
      <c r="AP47" s="72">
        <f>-AQ36*SIN((AQ42)/180*PI())</f>
        <v>-7.9220173590965934E-2</v>
      </c>
      <c r="AQ47" s="72">
        <f>AQ36*COS((AQ42)/180*PI())</f>
        <v>-1.0512981101033707</v>
      </c>
      <c r="AT47" s="72">
        <f>-AU36*SIN((AU42)/180*PI())</f>
        <v>-0.20483331622366982</v>
      </c>
      <c r="AU47" s="72">
        <f>AU36*COS((AU42)/180*PI())</f>
        <v>-1.1593067697158601</v>
      </c>
      <c r="AV47" s="72">
        <f>-AW36*SIN((AW42)/180*PI())</f>
        <v>-9.6824656611180573E-2</v>
      </c>
      <c r="AW47" s="72">
        <f>AW36*COS((AW42)/180*PI())</f>
        <v>-1.284919912348564</v>
      </c>
      <c r="AZ47" s="72">
        <f>-BA36*SIN((BA42)/180*PI())</f>
        <v>-0.74434452372927873</v>
      </c>
      <c r="BA47" s="72">
        <f>BA36*COS((BA42)/180*PI())</f>
        <v>0.99423868865654486</v>
      </c>
      <c r="BD47" s="72">
        <f>-BE36*SIN((BE42)/180*PI())</f>
        <v>-0.35342129109898079</v>
      </c>
      <c r="BE47" s="72">
        <f>BE36*COS((BE42)/180*PI())</f>
        <v>2.3173786474785691</v>
      </c>
      <c r="BH47" s="72">
        <f>-BI36*SIN((BI42)/180*PI())</f>
        <v>-4.1028269000129063</v>
      </c>
      <c r="BI47" s="72">
        <f>BI36*COS((BI42)/180*PI())</f>
        <v>-3.7950288236152621</v>
      </c>
      <c r="BL47" s="72">
        <f>-BM36*SIN((BM42)/180*PI())</f>
        <v>-4.6282150605856982</v>
      </c>
      <c r="BM47" s="72">
        <f>BM36*COS((BM42)/180*PI())</f>
        <v>-1.0362633038244229</v>
      </c>
      <c r="BP47" s="72">
        <f>-BQ36*SIN((BQ42)/180*PI())</f>
        <v>-2.2455796974611877</v>
      </c>
      <c r="BQ47" s="72">
        <f>BQ36*COS((BQ42)/180*PI())</f>
        <v>0.45596931286841902</v>
      </c>
      <c r="BR47" s="72">
        <f>-BS36*SIN((BS42)/180*PI())</f>
        <v>0.46407099725200757</v>
      </c>
      <c r="BS47" s="72">
        <f>BS36*COS((BS42)/180*PI())</f>
        <v>2.1894039058716364</v>
      </c>
      <c r="BV47" s="72">
        <f>-BW36*SIN((BW42)/180*PI())</f>
        <v>1.2673154293283495</v>
      </c>
      <c r="BW47" s="72">
        <f>BW36*COS((BW42)/180*PI())</f>
        <v>-0.33044645885637336</v>
      </c>
      <c r="BZ47" s="72">
        <f>-CA36*SIN((CA42)/180*PI())</f>
        <v>1.1421911516514311</v>
      </c>
      <c r="CA47" s="72">
        <f>CA36*COS((CA42)/180*PI())</f>
        <v>-0.28521614055551908</v>
      </c>
    </row>
    <row r="48" spans="1:81" s="129" customFormat="1" x14ac:dyDescent="0.3">
      <c r="A48" s="118" t="s">
        <v>45</v>
      </c>
      <c r="B48" s="72">
        <f>B47-B18</f>
        <v>3.7755491868495028E-2</v>
      </c>
      <c r="C48" s="72">
        <f>C47-C18</f>
        <v>0.12474943435494001</v>
      </c>
      <c r="D48" s="63"/>
      <c r="E48" s="63"/>
      <c r="F48" s="72">
        <f>F47-F18</f>
        <v>9.5079833033530292E-2</v>
      </c>
      <c r="G48" s="72">
        <f>G47-G18</f>
        <v>-4.7445543469556206E-2</v>
      </c>
      <c r="H48" s="63"/>
      <c r="I48" s="63"/>
      <c r="J48" s="72">
        <f>J47-J18</f>
        <v>-8.8135096395036139E-2</v>
      </c>
      <c r="K48" s="72">
        <f>K47-K18</f>
        <v>-2.5208452343555621E-2</v>
      </c>
      <c r="L48" s="63"/>
      <c r="M48" s="63"/>
      <c r="N48" s="72">
        <f>N47-N18</f>
        <v>-3.339292989562459E-2</v>
      </c>
      <c r="O48" s="72">
        <f>O47-O18</f>
        <v>7.2299741712912535E-2</v>
      </c>
      <c r="P48" s="63"/>
      <c r="Q48" s="63"/>
      <c r="R48" s="72">
        <f t="shared" ref="R48:W48" si="14">R47-R18</f>
        <v>-0.16327685511435902</v>
      </c>
      <c r="S48" s="72">
        <f t="shared" si="14"/>
        <v>0.14722569971323296</v>
      </c>
      <c r="T48" s="72">
        <f t="shared" si="14"/>
        <v>-5.3118178863110765E-3</v>
      </c>
      <c r="U48" s="72">
        <f t="shared" si="14"/>
        <v>8.3586014839487466E-2</v>
      </c>
      <c r="V48" s="72">
        <f t="shared" si="14"/>
        <v>5.3258469118137489E-2</v>
      </c>
      <c r="W48" s="72">
        <f t="shared" si="14"/>
        <v>8.3882661742893383E-2</v>
      </c>
      <c r="X48" s="72"/>
      <c r="Y48" s="72"/>
      <c r="Z48" s="72">
        <f>Z47-Z18</f>
        <v>6.405375917941869E-2</v>
      </c>
      <c r="AA48" s="72">
        <f>AA47-AA18</f>
        <v>2.6109367145702223E-2</v>
      </c>
      <c r="AD48" s="72">
        <f>AD47-AD18</f>
        <v>1.6262623186570075</v>
      </c>
      <c r="AE48" s="72">
        <f>AE47-AE18</f>
        <v>0.47746731790542718</v>
      </c>
      <c r="AH48" s="72">
        <f>AH47-AH18</f>
        <v>3.583991762365546E-2</v>
      </c>
      <c r="AI48" s="72">
        <f>AI47-AI18</f>
        <v>5.5910864959256568E-2</v>
      </c>
      <c r="AL48" s="72">
        <f>AL47-AL18</f>
        <v>1.4833332688768408E-3</v>
      </c>
      <c r="AM48" s="72">
        <f>AM47-AM18</f>
        <v>-0.19377831245349442</v>
      </c>
      <c r="AP48" s="72">
        <f>AP47-AP18</f>
        <v>-0.1257587945514819</v>
      </c>
      <c r="AQ48" s="72">
        <f>AQ47-AQ18</f>
        <v>6.3731107791431096E-2</v>
      </c>
      <c r="AT48" s="72">
        <f>AT47-AT18</f>
        <v>-0.25137193718418577</v>
      </c>
      <c r="AU48" s="72">
        <f>AU47-AU18</f>
        <v>-4.4277551821058303E-2</v>
      </c>
      <c r="AV48" s="72">
        <f>AV47-AV18</f>
        <v>-0.14336327757169653</v>
      </c>
      <c r="AW48" s="72">
        <f>AW47-AW18</f>
        <v>-0.16989069445376215</v>
      </c>
      <c r="AZ48" s="72">
        <f>AZ47-AZ18</f>
        <v>0.12061138100290414</v>
      </c>
      <c r="BA48" s="72">
        <f>BA47-BA18</f>
        <v>-0.16703444151952662</v>
      </c>
      <c r="BD48" s="72">
        <f>BD47-BD18</f>
        <v>-0.35342129109898079</v>
      </c>
      <c r="BE48" s="72">
        <f>BE47-BE18</f>
        <v>2.3173786474785691</v>
      </c>
      <c r="BH48" s="72">
        <f>BH47-BH18</f>
        <v>8.4863239979530825E-2</v>
      </c>
      <c r="BI48" s="72">
        <f>BI47-BI18</f>
        <v>8.0511524588411376E-4</v>
      </c>
      <c r="BL48" s="72">
        <f>BL47-BL18</f>
        <v>-0.11345621289835073</v>
      </c>
      <c r="BM48" s="72">
        <f>BM47-BM18</f>
        <v>5.5971811537106841E-2</v>
      </c>
      <c r="BP48" s="72">
        <f>BP47-BP18</f>
        <v>7.422056084985007E-2</v>
      </c>
      <c r="BQ48" s="72">
        <f>BQ47-BQ18</f>
        <v>-1.9373470331284892E-2</v>
      </c>
      <c r="BR48" s="72">
        <f>BR47-BR18</f>
        <v>-3.2449654185445043E-2</v>
      </c>
      <c r="BS48" s="72">
        <f>BS47-BS18</f>
        <v>-9.9358039525072606E-2</v>
      </c>
      <c r="BV48" s="72">
        <f>BV47-BV18</f>
        <v>0.25697719929912433</v>
      </c>
      <c r="BW48" s="72">
        <f>BW47-BW18</f>
        <v>-0.12507445263008099</v>
      </c>
      <c r="BZ48" s="72">
        <f>BZ47-BZ18</f>
        <v>0.13185292162220597</v>
      </c>
      <c r="CA48" s="72">
        <f>CA47-CA18</f>
        <v>-7.9844134329226712E-2</v>
      </c>
    </row>
    <row r="49" spans="1:79" x14ac:dyDescent="0.3">
      <c r="A49" s="118" t="s">
        <v>46</v>
      </c>
      <c r="B49" s="118">
        <f>B48^2</f>
        <v>1.4254771662319942E-3</v>
      </c>
      <c r="C49" s="118">
        <f>C48^2</f>
        <v>1.5562421371877487E-2</v>
      </c>
      <c r="F49" s="118">
        <f>F48^2</f>
        <v>9.0401746496839974E-3</v>
      </c>
      <c r="G49" s="118">
        <f>G48^2</f>
        <v>2.2510795951215475E-3</v>
      </c>
      <c r="J49" s="118">
        <f>J48^2</f>
        <v>7.7677952165623124E-3</v>
      </c>
      <c r="K49" s="118">
        <f>K48^2</f>
        <v>6.3546606955731488E-4</v>
      </c>
      <c r="N49" s="118">
        <f>N48^2</f>
        <v>1.1150877670140986E-3</v>
      </c>
      <c r="O49" s="118">
        <f>O48^2</f>
        <v>5.2272526517538652E-3</v>
      </c>
      <c r="R49" s="118">
        <f t="shared" ref="R49:W49" si="15">R48^2</f>
        <v>2.6659331416035388E-2</v>
      </c>
      <c r="S49" s="118">
        <f t="shared" si="15"/>
        <v>2.1675406656051045E-2</v>
      </c>
      <c r="T49" s="118">
        <f t="shared" si="15"/>
        <v>2.8215409257334273E-5</v>
      </c>
      <c r="U49" s="118">
        <f t="shared" si="15"/>
        <v>6.9866218767470189E-3</v>
      </c>
      <c r="V49" s="118">
        <f t="shared" si="15"/>
        <v>2.8364645328076044E-3</v>
      </c>
      <c r="W49" s="118">
        <f t="shared" si="15"/>
        <v>7.0363009410726691E-3</v>
      </c>
      <c r="Z49" s="118">
        <f>Z48^2</f>
        <v>4.1028840650149641E-3</v>
      </c>
      <c r="AA49" s="118">
        <f>AA48^2</f>
        <v>6.8169905274907466E-4</v>
      </c>
      <c r="AD49" s="118">
        <f>AD48^2</f>
        <v>2.6447291290836663</v>
      </c>
      <c r="AE49" s="118">
        <f>AE48^2</f>
        <v>0.22797503966780228</v>
      </c>
      <c r="AH49" s="118">
        <f>AH48^2</f>
        <v>1.2844996952704091E-3</v>
      </c>
      <c r="AI49" s="118">
        <f>AI48^2</f>
        <v>3.1260248204922239E-3</v>
      </c>
      <c r="AL49" s="118">
        <f>AL48^2</f>
        <v>2.200277586556854E-6</v>
      </c>
      <c r="AM49" s="118">
        <f>AM48^2</f>
        <v>3.7550034377324112E-2</v>
      </c>
      <c r="AP49" s="118">
        <f>AP48^2</f>
        <v>1.5815274407041831E-2</v>
      </c>
      <c r="AQ49" s="118">
        <f>AQ48^2</f>
        <v>4.0616541003230091E-3</v>
      </c>
      <c r="AT49" s="118">
        <f>AT48^2</f>
        <v>6.3187850803730239E-2</v>
      </c>
      <c r="AU49" s="118">
        <f>AU48^2</f>
        <v>1.9605015952665035E-3</v>
      </c>
      <c r="AV49" s="118">
        <f>AV48^2</f>
        <v>2.0553029356099307E-2</v>
      </c>
      <c r="AW49" s="118">
        <f>AW48^2</f>
        <v>2.8862848061981569E-2</v>
      </c>
      <c r="AZ49" s="118">
        <f>AZ48^2</f>
        <v>1.4547105227427705E-2</v>
      </c>
      <c r="BA49" s="118">
        <f>BA48^2</f>
        <v>2.7900504653740159E-2</v>
      </c>
      <c r="BD49" s="118">
        <f>BD48^2</f>
        <v>0.12490660900207053</v>
      </c>
      <c r="BE49" s="118">
        <f>BE48^2</f>
        <v>5.3702437957896025</v>
      </c>
      <c r="BH49" s="118">
        <f>BH48^2</f>
        <v>7.2017694998234389E-3</v>
      </c>
      <c r="BI49" s="118">
        <f>BI48^2</f>
        <v>6.4821055915503696E-7</v>
      </c>
      <c r="BL49" s="118">
        <f>BL48^2</f>
        <v>1.2872312245235886E-2</v>
      </c>
      <c r="BM49" s="118">
        <f>BM48^2</f>
        <v>3.1328436867454064E-3</v>
      </c>
      <c r="BP49" s="118">
        <f>BP48^2</f>
        <v>5.5086916528662971E-3</v>
      </c>
      <c r="BQ49" s="118">
        <f>BQ48^2</f>
        <v>3.7533135267717594E-4</v>
      </c>
      <c r="BR49" s="118">
        <f>BR48^2</f>
        <v>1.052980056754971E-3</v>
      </c>
      <c r="BS49" s="118">
        <f>BS48^2</f>
        <v>9.872020018265891E-3</v>
      </c>
      <c r="BV49" s="118">
        <f>BV48^2</f>
        <v>6.6037280959621858E-2</v>
      </c>
      <c r="BW49" s="118">
        <f>BW48^2</f>
        <v>1.5643618700714373E-2</v>
      </c>
      <c r="BZ49" s="118">
        <f>BZ48^2</f>
        <v>1.738519294031159E-2</v>
      </c>
      <c r="CA49" s="118">
        <f>CA48^2</f>
        <v>6.3750857867836E-3</v>
      </c>
    </row>
    <row r="50" spans="1:79" s="129" customFormat="1" x14ac:dyDescent="0.3">
      <c r="A50" s="118" t="s">
        <v>47</v>
      </c>
      <c r="B50" s="72"/>
      <c r="C50" s="72">
        <f>SQRT(B49+C49)</f>
        <v>0.13033763285448099</v>
      </c>
      <c r="D50" s="63"/>
      <c r="E50" s="63"/>
      <c r="F50" s="72"/>
      <c r="G50" s="72">
        <f>SQRT(F49+G49)</f>
        <v>0.10626031359263695</v>
      </c>
      <c r="H50" s="63"/>
      <c r="I50" s="63"/>
      <c r="J50" s="72"/>
      <c r="K50" s="72">
        <f>SQRT(J49+K49)</f>
        <v>9.1669303946957215E-2</v>
      </c>
      <c r="L50" s="63"/>
      <c r="M50" s="63"/>
      <c r="N50" s="72"/>
      <c r="O50" s="72">
        <f>SQRT(N49+O49)</f>
        <v>7.9638812263669298E-2</v>
      </c>
      <c r="P50" s="63"/>
      <c r="Q50" s="63"/>
      <c r="R50" s="72"/>
      <c r="S50" s="72">
        <f>SQRT(R49+S49)</f>
        <v>0.21985162740377073</v>
      </c>
      <c r="T50" s="72"/>
      <c r="U50" s="72">
        <f>SQRT(T49+U49)</f>
        <v>8.3754625460355045E-2</v>
      </c>
      <c r="V50" s="72"/>
      <c r="W50" s="72">
        <f>SQRT(V49+W49)</f>
        <v>9.936179081457959E-2</v>
      </c>
      <c r="X50" s="72"/>
      <c r="Y50" s="72"/>
      <c r="Z50" s="72"/>
      <c r="AA50" s="72">
        <f>SQRT(Z49+AA49)</f>
        <v>6.917068105609514E-2</v>
      </c>
      <c r="AD50" s="72"/>
      <c r="AE50" s="72">
        <f>SQRT(AD49+AE49)</f>
        <v>1.6949053568714296</v>
      </c>
      <c r="AH50" s="72"/>
      <c r="AI50" s="72">
        <f>SQRT(AH49+AI49)</f>
        <v>6.6411779947255084E-2</v>
      </c>
      <c r="AL50" s="72"/>
      <c r="AM50" s="72">
        <f>SQRT(AL49+AM49)</f>
        <v>0.19378398967641952</v>
      </c>
      <c r="AP50" s="72"/>
      <c r="AQ50" s="72">
        <f>SQRT(AP49+AQ49)</f>
        <v>0.1409855613435817</v>
      </c>
      <c r="AT50" s="72"/>
      <c r="AU50" s="72">
        <f>SQRT(AT49+AU49)</f>
        <v>0.25524175285206913</v>
      </c>
      <c r="AV50" s="72"/>
      <c r="AW50" s="72">
        <f>SQRT(AV49+AW49)</f>
        <v>0.22229682277999582</v>
      </c>
      <c r="AZ50" s="72"/>
      <c r="BA50" s="72">
        <f>SQRT(AZ49+BA49)</f>
        <v>0.20602817739612186</v>
      </c>
      <c r="BD50" s="72"/>
      <c r="BE50" s="72">
        <f>SQRT(BD49+BE49)</f>
        <v>2.3441737147216015</v>
      </c>
      <c r="BH50" s="72"/>
      <c r="BI50" s="72">
        <f>SQRT(BH49+BI49)</f>
        <v>8.4867059041671716E-2</v>
      </c>
      <c r="BL50" s="72"/>
      <c r="BM50" s="72">
        <f>SQRT(BL49+BM49)</f>
        <v>0.12651148537576062</v>
      </c>
      <c r="BP50" s="72"/>
      <c r="BQ50" s="72">
        <f>SQRT(BP49+BQ49)</f>
        <v>7.6707385599715711E-2</v>
      </c>
      <c r="BR50" s="72"/>
      <c r="BS50" s="72">
        <f>SQRT(BR49+BS49)</f>
        <v>0.10452272516070781</v>
      </c>
      <c r="BV50" s="72"/>
      <c r="BW50" s="72">
        <f>SQRT(BV49+BW49)</f>
        <v>0.28579870479121527</v>
      </c>
      <c r="BZ50" s="72"/>
      <c r="CA50" s="72">
        <f>SQRT(BZ49+CA49)</f>
        <v>0.15414369506111883</v>
      </c>
    </row>
    <row r="51" spans="1:79" s="129" customFormat="1" x14ac:dyDescent="0.3">
      <c r="A51" s="118" t="s">
        <v>48</v>
      </c>
      <c r="B51" s="72"/>
      <c r="C51" s="77">
        <f>C50/C36</f>
        <v>2.1099810268844898E-2</v>
      </c>
      <c r="D51" s="63"/>
      <c r="E51" s="63"/>
      <c r="F51" s="72"/>
      <c r="G51" s="77">
        <f>G50/G36</f>
        <v>6.8508546217657923E-2</v>
      </c>
      <c r="H51" s="63"/>
      <c r="I51" s="63"/>
      <c r="J51" s="72"/>
      <c r="K51" s="77">
        <f>K50/K36</f>
        <v>2.2774506360460887E-2</v>
      </c>
      <c r="L51" s="63"/>
      <c r="M51" s="63"/>
      <c r="N51" s="72"/>
      <c r="O51" s="77">
        <f>O50/O36</f>
        <v>1.1188287495937076E-2</v>
      </c>
      <c r="P51" s="63"/>
      <c r="Q51" s="63"/>
      <c r="R51" s="72"/>
      <c r="S51" s="77">
        <f>S50/S36</f>
        <v>0.41966405130177586</v>
      </c>
      <c r="T51" s="72"/>
      <c r="U51" s="77">
        <f>U50/U36</f>
        <v>0.16736492545365156</v>
      </c>
      <c r="V51" s="72"/>
      <c r="W51" s="77">
        <f>W50/W36</f>
        <v>0.2057226128202872</v>
      </c>
      <c r="X51" s="72"/>
      <c r="Y51" s="77"/>
      <c r="Z51" s="72"/>
      <c r="AA51" s="77">
        <f>AA50/AA36</f>
        <v>0.10965037840485324</v>
      </c>
      <c r="AD51" s="72"/>
      <c r="AE51" s="77">
        <f>AE50/AE36</f>
        <v>1.6934450315108545</v>
      </c>
      <c r="AH51" s="72"/>
      <c r="AI51" s="77">
        <f>AI50/AI36</f>
        <v>1.0439678381193938E-2</v>
      </c>
      <c r="AL51" s="72"/>
      <c r="AM51" s="77">
        <f>AM50/AM36</f>
        <v>0.14796192349428644</v>
      </c>
      <c r="AP51" s="72"/>
      <c r="AQ51" s="77">
        <f>AQ50/AQ36</f>
        <v>0.13372703340502282</v>
      </c>
      <c r="AT51" s="72"/>
      <c r="AU51" s="77">
        <f>AU50/AU36</f>
        <v>0.21680940296056611</v>
      </c>
      <c r="AV51" s="72"/>
      <c r="AW51" s="77">
        <f>AW50/AW36</f>
        <v>0.17251531372942533</v>
      </c>
      <c r="AZ51" s="72"/>
      <c r="BA51" s="77">
        <f>BA50/BA36</f>
        <v>0.16588445136460239</v>
      </c>
      <c r="BD51" s="72"/>
      <c r="BE51" s="77">
        <f>BE50/BE36</f>
        <v>1</v>
      </c>
      <c r="BH51" s="72"/>
      <c r="BI51" s="77">
        <f>BI50/BI36</f>
        <v>1.5185020820657629E-2</v>
      </c>
      <c r="BL51" s="72"/>
      <c r="BM51" s="77">
        <f>BM50/BM36</f>
        <v>2.667439153228069E-2</v>
      </c>
      <c r="BP51" s="72"/>
      <c r="BQ51" s="77">
        <f>BQ50/BQ36</f>
        <v>3.3476138256766361E-2</v>
      </c>
      <c r="BR51" s="72"/>
      <c r="BS51" s="77">
        <f>BS50/BS36</f>
        <v>4.6702663830474479E-2</v>
      </c>
      <c r="BV51" s="72"/>
      <c r="BW51" s="77">
        <f>BW50/BW36</f>
        <v>0.21821888466480291</v>
      </c>
      <c r="BZ51" s="72"/>
      <c r="CA51" s="77">
        <f>CA50/CA36</f>
        <v>0.13093391705277116</v>
      </c>
    </row>
    <row r="52" spans="1:79" s="129" customFormat="1" x14ac:dyDescent="0.3">
      <c r="A52" s="118"/>
      <c r="B52" s="72"/>
      <c r="C52" s="144"/>
      <c r="D52" s="63"/>
      <c r="E52" s="63"/>
      <c r="F52" s="72"/>
      <c r="G52" s="144"/>
      <c r="H52" s="63"/>
      <c r="I52" s="63"/>
      <c r="J52" s="72"/>
      <c r="K52" s="144"/>
      <c r="L52" s="63"/>
      <c r="M52" s="63"/>
      <c r="N52" s="72"/>
      <c r="O52" s="144"/>
      <c r="P52" s="63"/>
      <c r="Q52" s="63"/>
      <c r="R52" s="72"/>
      <c r="S52" s="144"/>
      <c r="T52" s="63"/>
      <c r="U52" s="63"/>
      <c r="V52" s="63"/>
      <c r="W52" s="63"/>
      <c r="X52" s="72"/>
      <c r="Y52" s="144"/>
      <c r="Z52" s="63"/>
      <c r="AA52" s="63"/>
      <c r="BD52" s="72"/>
      <c r="BE52" s="144"/>
      <c r="BH52" s="72"/>
      <c r="BI52" s="144"/>
      <c r="BL52" s="72"/>
      <c r="BM52" s="144"/>
      <c r="BP52" s="72"/>
      <c r="BQ52" s="144"/>
      <c r="BR52" s="72"/>
      <c r="BS52" s="144"/>
      <c r="BV52" s="72"/>
      <c r="BW52" s="144"/>
      <c r="BZ52" s="72"/>
      <c r="CA52" s="144"/>
    </row>
    <row r="53" spans="1:79" s="129" customFormat="1" x14ac:dyDescent="0.3">
      <c r="A53" s="118" t="s">
        <v>89</v>
      </c>
      <c r="B53" s="72">
        <f>MEDIAN(B50:G50)</f>
        <v>0.11829897322355898</v>
      </c>
      <c r="C53" s="144"/>
      <c r="D53" s="63"/>
      <c r="E53" s="63"/>
      <c r="F53" s="72"/>
      <c r="G53" s="144"/>
      <c r="H53" s="63"/>
      <c r="I53" s="63"/>
      <c r="J53" s="72">
        <f>MEDIAN(J50:O50)</f>
        <v>8.5654058105313263E-2</v>
      </c>
      <c r="K53" s="144"/>
      <c r="L53" s="63"/>
      <c r="M53" s="63"/>
      <c r="N53" s="72"/>
      <c r="O53" s="144"/>
      <c r="P53" s="63"/>
      <c r="Q53" s="63"/>
      <c r="R53" s="72">
        <f>MEDIAN(R50:W50)</f>
        <v>9.936179081457959E-2</v>
      </c>
      <c r="S53" s="144"/>
      <c r="T53" s="63"/>
      <c r="U53" s="63"/>
      <c r="V53" s="63"/>
      <c r="W53" s="63"/>
      <c r="X53" s="72"/>
      <c r="Y53" s="144"/>
      <c r="Z53" s="63"/>
      <c r="AA53" s="63"/>
      <c r="AM53" s="72">
        <f>MEDIAN(AM50:AR50)</f>
        <v>0.16738477551000061</v>
      </c>
      <c r="BD53" s="72">
        <f>MEDIAN(BD50:BI50)</f>
        <v>1.2145203868816368</v>
      </c>
      <c r="BE53" s="144"/>
      <c r="BH53" s="72">
        <f>MEDIAN(BH50:BM50)</f>
        <v>0.10568927220871617</v>
      </c>
      <c r="BI53" s="144"/>
      <c r="BL53" s="72">
        <f>MEDIAN(BL50:BQ50)</f>
        <v>0.10160943548773817</v>
      </c>
      <c r="BM53" s="144"/>
      <c r="BP53" s="72">
        <f>MEDIAN(BP50:BS50)</f>
        <v>9.0615055380211751E-2</v>
      </c>
      <c r="BQ53" s="144"/>
      <c r="BR53" s="72"/>
      <c r="BS53" s="144"/>
      <c r="BV53" s="72">
        <f>MEDIAN(BV50:CA50)</f>
        <v>0.21997119992616704</v>
      </c>
      <c r="BW53" s="144"/>
      <c r="BZ53" s="72"/>
      <c r="CA53" s="144"/>
    </row>
    <row r="54" spans="1:79" s="129" customFormat="1" x14ac:dyDescent="0.3">
      <c r="A54" s="118" t="s">
        <v>81</v>
      </c>
      <c r="B54" s="72">
        <f>AVERAGE(B50:G50)</f>
        <v>0.11829897322355898</v>
      </c>
      <c r="C54" s="144"/>
      <c r="D54" s="63"/>
      <c r="E54" s="63"/>
      <c r="F54" s="72"/>
      <c r="G54" s="144"/>
      <c r="H54" s="63"/>
      <c r="I54" s="63"/>
      <c r="J54" s="72">
        <f>AVERAGE(J50:O50)</f>
        <v>8.5654058105313263E-2</v>
      </c>
      <c r="K54" s="144"/>
      <c r="L54" s="63"/>
      <c r="M54" s="63"/>
      <c r="N54" s="72"/>
      <c r="O54" s="144"/>
      <c r="P54" s="63"/>
      <c r="Q54" s="63"/>
      <c r="R54" s="72">
        <f>AVERAGE(R50:W50)</f>
        <v>0.13432268122623511</v>
      </c>
      <c r="S54" s="144"/>
      <c r="T54" s="63"/>
      <c r="U54" s="63"/>
      <c r="V54" s="63"/>
      <c r="W54" s="63"/>
      <c r="X54" s="72"/>
      <c r="Y54" s="144"/>
      <c r="Z54" s="63"/>
      <c r="AA54" s="63"/>
      <c r="AM54" s="72">
        <f>AVERAGE(AM50:AR50)</f>
        <v>0.16738477551000061</v>
      </c>
      <c r="BD54" s="72">
        <f>AVERAGE(BD50:BI50)</f>
        <v>1.2145203868816365</v>
      </c>
      <c r="BE54" s="144"/>
      <c r="BH54" s="72">
        <f>AVERAGE(BH50:BM50)</f>
        <v>0.10568927220871617</v>
      </c>
      <c r="BI54" s="144"/>
      <c r="BL54" s="72">
        <f>AVERAGE(BL50:BQ50)</f>
        <v>0.10160943548773817</v>
      </c>
      <c r="BM54" s="144"/>
      <c r="BP54" s="72">
        <f>AVERAGE(BP50:BS50)</f>
        <v>9.0615055380211751E-2</v>
      </c>
      <c r="BQ54" s="144"/>
      <c r="BR54" s="72"/>
      <c r="BS54" s="144"/>
      <c r="BV54" s="72">
        <f>AVERAGE(BV50:CA50)</f>
        <v>0.21997119992616704</v>
      </c>
      <c r="BW54" s="144"/>
      <c r="BZ54" s="72"/>
      <c r="CA54" s="144"/>
    </row>
    <row r="55" spans="1:79" s="129" customFormat="1" x14ac:dyDescent="0.3">
      <c r="A55" s="118" t="s">
        <v>82</v>
      </c>
      <c r="B55" s="72">
        <f>STDEV(B50:G50)</f>
        <v>1.7025235722843354E-2</v>
      </c>
      <c r="C55" s="144"/>
      <c r="D55" s="63"/>
      <c r="E55" s="63"/>
      <c r="F55" s="72"/>
      <c r="G55" s="144"/>
      <c r="H55" s="63"/>
      <c r="I55" s="63"/>
      <c r="J55" s="72">
        <f>STDEV(J50:O50)</f>
        <v>8.5068422502612481E-3</v>
      </c>
      <c r="K55" s="144"/>
      <c r="L55" s="63"/>
      <c r="M55" s="63"/>
      <c r="N55" s="72"/>
      <c r="O55" s="144"/>
      <c r="P55" s="63"/>
      <c r="Q55" s="63"/>
      <c r="R55" s="72">
        <f>STDEV(R50:W50)</f>
        <v>7.4480174397475493E-2</v>
      </c>
      <c r="S55" s="144"/>
      <c r="T55" s="63"/>
      <c r="U55" s="63"/>
      <c r="V55" s="63"/>
      <c r="W55" s="63"/>
      <c r="X55" s="72"/>
      <c r="Y55" s="144"/>
      <c r="Z55" s="63"/>
      <c r="AA55" s="63"/>
      <c r="AM55" s="72">
        <f>STDEV(AM50:AR50)</f>
        <v>3.7334126710141524E-2</v>
      </c>
      <c r="BD55" s="72">
        <f>STDEV(BD50:BI50)</f>
        <v>1.5975710570111787</v>
      </c>
      <c r="BE55" s="144"/>
      <c r="BH55" s="72">
        <f>STDEV(BH50:BM50)</f>
        <v>2.9447056259457895E-2</v>
      </c>
      <c r="BI55" s="144"/>
      <c r="BL55" s="72">
        <f>STDEV(BL50:BQ50)</f>
        <v>3.5216816682532764E-2</v>
      </c>
      <c r="BM55" s="144"/>
      <c r="BP55" s="72">
        <f>STDEV(BP50:BS50)</f>
        <v>1.9668415224583999E-2</v>
      </c>
      <c r="BQ55" s="144"/>
      <c r="BR55" s="72"/>
      <c r="BS55" s="144"/>
      <c r="BV55" s="72">
        <f>STDEV(BV50:CA50)</f>
        <v>9.3094150157332134E-2</v>
      </c>
      <c r="BW55" s="144"/>
      <c r="BZ55" s="72"/>
      <c r="CA55" s="144"/>
    </row>
    <row r="56" spans="1:79" s="129" customFormat="1" x14ac:dyDescent="0.3">
      <c r="A56" s="118" t="s">
        <v>83</v>
      </c>
      <c r="B56" s="72"/>
      <c r="C56" s="144"/>
      <c r="D56" s="63"/>
      <c r="E56" s="63"/>
      <c r="F56" s="72"/>
      <c r="G56" s="144"/>
      <c r="H56" s="63"/>
      <c r="I56" s="63"/>
      <c r="J56" s="72"/>
      <c r="K56" s="144"/>
      <c r="L56" s="63"/>
      <c r="M56" s="63"/>
      <c r="N56" s="72"/>
      <c r="O56" s="144"/>
      <c r="P56" s="63"/>
      <c r="Q56" s="63"/>
      <c r="R56" s="72"/>
      <c r="S56" s="144"/>
      <c r="T56" s="63"/>
      <c r="U56" s="63"/>
      <c r="V56" s="63"/>
      <c r="W56" s="63"/>
      <c r="X56" s="72"/>
      <c r="Y56" s="144"/>
      <c r="Z56" s="63"/>
      <c r="AA56" s="63"/>
      <c r="AM56" s="72"/>
      <c r="BD56" s="72"/>
      <c r="BE56" s="144"/>
      <c r="BH56" s="72"/>
      <c r="BI56" s="144"/>
      <c r="BL56" s="72"/>
      <c r="BM56" s="144"/>
      <c r="BP56" s="72"/>
      <c r="BQ56" s="144"/>
      <c r="BR56" s="72"/>
      <c r="BS56" s="144"/>
      <c r="BV56" s="72"/>
      <c r="BW56" s="144"/>
      <c r="BZ56" s="72"/>
      <c r="CA56" s="144"/>
    </row>
    <row r="57" spans="1:79" s="129" customFormat="1" x14ac:dyDescent="0.3">
      <c r="A57" s="118"/>
      <c r="B57" s="72"/>
      <c r="C57" s="72"/>
      <c r="D57" s="63"/>
      <c r="E57" s="63"/>
      <c r="F57" s="72"/>
      <c r="G57" s="72"/>
      <c r="H57" s="63"/>
      <c r="I57" s="63"/>
      <c r="J57" s="72"/>
      <c r="K57" s="72"/>
      <c r="L57" s="63"/>
      <c r="M57" s="63"/>
      <c r="N57" s="72"/>
      <c r="O57" s="72"/>
      <c r="P57" s="63"/>
      <c r="Q57" s="63"/>
      <c r="R57" s="72"/>
      <c r="S57" s="72"/>
      <c r="T57" s="63"/>
      <c r="U57" s="63"/>
      <c r="V57" s="63"/>
      <c r="W57" s="63"/>
      <c r="X57" s="72"/>
      <c r="Y57" s="72"/>
      <c r="Z57" s="63"/>
      <c r="AA57" s="63"/>
      <c r="AM57" s="72"/>
      <c r="BD57" s="72"/>
      <c r="BE57" s="72"/>
      <c r="BH57" s="72"/>
      <c r="BI57" s="72"/>
      <c r="BL57" s="72"/>
      <c r="BM57" s="72"/>
      <c r="BP57" s="72"/>
      <c r="BQ57" s="72"/>
      <c r="BR57" s="72"/>
      <c r="BS57" s="72"/>
      <c r="BV57" s="72"/>
      <c r="BW57" s="72"/>
      <c r="BZ57" s="72"/>
      <c r="CA57" s="72"/>
    </row>
    <row r="58" spans="1:79" s="129" customFormat="1" x14ac:dyDescent="0.3">
      <c r="B58" s="139"/>
      <c r="C58" s="139"/>
      <c r="D58" s="63"/>
      <c r="E58" s="63"/>
      <c r="F58" s="139"/>
      <c r="G58" s="139"/>
      <c r="H58" s="63"/>
      <c r="I58" s="63"/>
      <c r="J58" s="139"/>
      <c r="K58" s="139"/>
      <c r="L58" s="63"/>
      <c r="M58" s="63"/>
      <c r="N58" s="139"/>
      <c r="O58" s="139"/>
      <c r="P58" s="63"/>
      <c r="Q58" s="63"/>
      <c r="R58" s="139"/>
      <c r="S58" s="139"/>
      <c r="T58" s="63"/>
      <c r="U58" s="63"/>
      <c r="V58" s="63"/>
      <c r="W58" s="63"/>
      <c r="X58" s="139"/>
      <c r="Y58" s="139"/>
      <c r="Z58" s="63"/>
      <c r="AA58" s="63"/>
      <c r="AM58" s="139"/>
      <c r="BD58" s="139"/>
      <c r="BE58" s="139"/>
      <c r="BH58" s="139"/>
      <c r="BI58" s="139"/>
      <c r="BL58" s="139"/>
      <c r="BM58" s="139"/>
      <c r="BP58" s="139"/>
      <c r="BQ58" s="139"/>
      <c r="BR58" s="139"/>
      <c r="BS58" s="139"/>
      <c r="BV58" s="139"/>
      <c r="BW58" s="139"/>
      <c r="BZ58" s="139"/>
      <c r="CA58" s="139"/>
    </row>
    <row r="59" spans="1:79" x14ac:dyDescent="0.3">
      <c r="A59" s="139" t="s">
        <v>115</v>
      </c>
      <c r="B59" s="166"/>
      <c r="F59" s="147"/>
      <c r="J59" s="166"/>
      <c r="N59" s="147"/>
      <c r="R59" s="166">
        <f>AVERAGE(R36:W36)</f>
        <v>0.50243187213182083</v>
      </c>
      <c r="X59" s="147"/>
      <c r="AM59" s="166">
        <f>AVERAGE(AM36:AW36)</f>
        <v>1.2074482643631117</v>
      </c>
      <c r="BD59" s="166"/>
      <c r="BH59" s="166"/>
      <c r="BL59" s="166"/>
      <c r="BP59" s="166"/>
      <c r="BR59" s="166"/>
      <c r="BV59" s="166">
        <f>AVERAGE(BV36:CA36)</f>
        <v>1.2434757641554679</v>
      </c>
      <c r="BZ59" s="166"/>
    </row>
    <row r="60" spans="1:79" x14ac:dyDescent="0.3">
      <c r="A60" s="129" t="s">
        <v>116</v>
      </c>
      <c r="B60" s="166"/>
      <c r="J60" s="166"/>
      <c r="R60" s="166">
        <f>STDEV(R36:W36)</f>
        <v>2.0516363404036148E-2</v>
      </c>
      <c r="AM60" s="166">
        <f>STDEV(AM36:AW36)</f>
        <v>0.11747997895113622</v>
      </c>
      <c r="BD60" s="166"/>
      <c r="BH60" s="166"/>
      <c r="BL60" s="166"/>
      <c r="BP60" s="166"/>
      <c r="BR60" s="166"/>
      <c r="BV60" s="166">
        <f>STDEV(BV36:CA36)</f>
        <v>9.3638567078820109E-2</v>
      </c>
      <c r="BZ60" s="166"/>
    </row>
    <row r="61" spans="1:79" x14ac:dyDescent="0.3">
      <c r="A61" s="129" t="s">
        <v>117</v>
      </c>
      <c r="B61" s="166"/>
      <c r="F61" s="141"/>
      <c r="J61" s="166"/>
      <c r="N61" s="141"/>
      <c r="R61" s="167">
        <f>AVERAGE(R42:W42)</f>
        <v>155.58670460413563</v>
      </c>
      <c r="X61" s="141"/>
      <c r="AM61" s="167">
        <f>AVERAGE(AM42:AW42)</f>
        <v>175.86566316789668</v>
      </c>
      <c r="BD61" s="166"/>
      <c r="BH61" s="166"/>
      <c r="BL61" s="166"/>
      <c r="BP61" s="166"/>
      <c r="BR61" s="166"/>
      <c r="BV61" s="166">
        <f>AVERAGE(BV42:CA42)</f>
        <v>255.68260568460249</v>
      </c>
      <c r="BZ61" s="166"/>
    </row>
    <row r="62" spans="1:79" x14ac:dyDescent="0.3">
      <c r="A62" s="129" t="s">
        <v>118</v>
      </c>
      <c r="B62" s="166"/>
      <c r="J62" s="166"/>
      <c r="R62" s="166">
        <f>STDEV(R42:W42)</f>
        <v>13.237561207892444</v>
      </c>
      <c r="AM62" s="166">
        <f>STDEV(AM42:AW42)</f>
        <v>4.9526125700175934</v>
      </c>
      <c r="BD62" s="166"/>
      <c r="BH62" s="166"/>
      <c r="BL62" s="166"/>
      <c r="BP62" s="166"/>
      <c r="BR62" s="166"/>
      <c r="BV62" s="166">
        <f>STDEV(BV42:CA42)</f>
        <v>0.41975236286958634</v>
      </c>
      <c r="BZ62" s="166"/>
    </row>
    <row r="63" spans="1:79" x14ac:dyDescent="0.3">
      <c r="R63" s="118">
        <f>R59*R62/57</f>
        <v>0.1166837308796661</v>
      </c>
      <c r="AM63" s="118">
        <f>AM59*AM62/57</f>
        <v>0.10491269213562585</v>
      </c>
      <c r="BV63" s="118">
        <f>BV59*BV62/57</f>
        <v>9.1570507048302132E-3</v>
      </c>
    </row>
  </sheetData>
  <mergeCells count="36">
    <mergeCell ref="AT10:AU10"/>
    <mergeCell ref="AV10:AW10"/>
    <mergeCell ref="L19:M19"/>
    <mergeCell ref="AB10:AC10"/>
    <mergeCell ref="AD10:AE10"/>
    <mergeCell ref="AH10:AI10"/>
    <mergeCell ref="AJ19:AK19"/>
    <mergeCell ref="AL19:AM19"/>
    <mergeCell ref="AL10:AM10"/>
    <mergeCell ref="N19:O19"/>
    <mergeCell ref="R19:S19"/>
    <mergeCell ref="X19:Y19"/>
    <mergeCell ref="N10:O10"/>
    <mergeCell ref="P10:Q10"/>
    <mergeCell ref="R10:S10"/>
    <mergeCell ref="F10:G10"/>
    <mergeCell ref="H10:I10"/>
    <mergeCell ref="AP10:AQ10"/>
    <mergeCell ref="T10:U10"/>
    <mergeCell ref="X10:Y10"/>
    <mergeCell ref="BV10:BW10"/>
    <mergeCell ref="BZ10:CA10"/>
    <mergeCell ref="B34:C34"/>
    <mergeCell ref="F34:G34"/>
    <mergeCell ref="J34:K34"/>
    <mergeCell ref="N34:O34"/>
    <mergeCell ref="X34:Y34"/>
    <mergeCell ref="Z10:AA10"/>
    <mergeCell ref="B19:C19"/>
    <mergeCell ref="V10:W10"/>
    <mergeCell ref="J10:K10"/>
    <mergeCell ref="L10:M10"/>
    <mergeCell ref="F19:G19"/>
    <mergeCell ref="J19:K19"/>
    <mergeCell ref="B10:C10"/>
    <mergeCell ref="D10:E10"/>
  </mergeCells>
  <phoneticPr fontId="10" type="noConversion"/>
  <pageMargins left="0.7" right="0.7" top="0.75" bottom="0.75" header="0.3" footer="0.3"/>
  <pageSetup scale="1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
  <sheetViews>
    <sheetView zoomScale="85" zoomScaleNormal="85" workbookViewId="0">
      <pane xSplit="1" ySplit="2" topLeftCell="B30" activePane="bottomRight" state="frozenSplit"/>
      <selection pane="topRight"/>
      <selection pane="bottomLeft" activeCell="A3" sqref="A3"/>
      <selection pane="bottomRight" activeCell="B61" sqref="B61"/>
    </sheetView>
  </sheetViews>
  <sheetFormatPr defaultRowHeight="14.4" x14ac:dyDescent="0.3"/>
  <cols>
    <col min="1" max="1" width="28" customWidth="1"/>
    <col min="2" max="3" width="11.6640625" customWidth="1"/>
    <col min="4" max="4" width="9.109375" style="49" customWidth="1"/>
    <col min="5" max="5" width="10.33203125" style="49" customWidth="1"/>
    <col min="6" max="7" width="10.88671875" style="49" customWidth="1"/>
    <col min="8" max="9" width="11.6640625" customWidth="1"/>
    <col min="10" max="10" width="9.109375" style="49" customWidth="1"/>
    <col min="11" max="11" width="10.33203125" style="49" customWidth="1"/>
    <col min="12" max="13" width="10.88671875" style="49" customWidth="1"/>
    <col min="14" max="15" width="11.6640625" customWidth="1"/>
    <col min="16" max="16" width="9.109375" style="49" customWidth="1"/>
    <col min="17" max="17" width="10.33203125" style="49" customWidth="1"/>
    <col min="18" max="19" width="10.88671875" style="49" customWidth="1"/>
    <col min="20" max="21" width="11.6640625" customWidth="1"/>
    <col min="22" max="22" width="9.109375" style="49" customWidth="1"/>
    <col min="23" max="23" width="10.33203125" style="49" customWidth="1"/>
    <col min="24" max="25" width="10.88671875" style="49" customWidth="1"/>
    <col min="26" max="27" width="9.109375" style="63" customWidth="1"/>
  </cols>
  <sheetData>
    <row r="1" spans="1:27" s="19" customFormat="1" x14ac:dyDescent="0.3">
      <c r="A1" s="20" t="s">
        <v>39</v>
      </c>
      <c r="B1" s="113"/>
      <c r="C1" s="114"/>
      <c r="D1" s="59"/>
      <c r="E1" s="59"/>
      <c r="F1" s="59"/>
      <c r="G1" s="59"/>
      <c r="H1" s="113"/>
      <c r="I1" s="114"/>
      <c r="J1" s="59"/>
      <c r="K1" s="59"/>
      <c r="L1" s="59"/>
      <c r="M1" s="59"/>
      <c r="N1" s="113"/>
      <c r="O1" s="114"/>
      <c r="P1" s="59"/>
      <c r="Q1" s="59"/>
      <c r="R1" s="59"/>
      <c r="S1" s="60"/>
      <c r="T1" s="113"/>
      <c r="U1" s="114"/>
      <c r="V1" s="59"/>
      <c r="W1" s="59"/>
      <c r="X1" s="59"/>
      <c r="Y1" s="60"/>
      <c r="Z1" s="67"/>
      <c r="AA1" s="67"/>
    </row>
    <row r="2" spans="1:27" s="13" customFormat="1" x14ac:dyDescent="0.3">
      <c r="B2" s="115"/>
      <c r="C2" s="116" t="s">
        <v>220</v>
      </c>
      <c r="D2" s="61"/>
      <c r="E2" s="61" t="s">
        <v>221</v>
      </c>
      <c r="F2" s="61"/>
      <c r="G2" s="61" t="s">
        <v>224</v>
      </c>
      <c r="H2" s="115"/>
      <c r="I2" s="116" t="s">
        <v>222</v>
      </c>
      <c r="J2" s="61"/>
      <c r="K2" s="61" t="s">
        <v>223</v>
      </c>
      <c r="L2" s="61"/>
      <c r="M2" s="61" t="s">
        <v>225</v>
      </c>
      <c r="N2" s="115"/>
      <c r="O2" s="116" t="s">
        <v>226</v>
      </c>
      <c r="P2" s="61"/>
      <c r="Q2" s="61" t="s">
        <v>227</v>
      </c>
      <c r="R2" s="61"/>
      <c r="S2" s="62" t="s">
        <v>228</v>
      </c>
      <c r="T2" s="115"/>
      <c r="U2" s="116" t="s">
        <v>229</v>
      </c>
      <c r="V2" s="61"/>
      <c r="W2" s="61" t="s">
        <v>230</v>
      </c>
      <c r="X2" s="61"/>
      <c r="Y2" s="62" t="s">
        <v>231</v>
      </c>
      <c r="Z2" s="61"/>
      <c r="AA2" s="61"/>
    </row>
    <row r="3" spans="1:27" s="13" customFormat="1" x14ac:dyDescent="0.3">
      <c r="B3" s="115" t="s">
        <v>61</v>
      </c>
      <c r="C3" s="116" t="s">
        <v>60</v>
      </c>
      <c r="D3" s="61"/>
      <c r="E3" s="61"/>
      <c r="F3" s="61"/>
      <c r="G3" s="61"/>
      <c r="H3" s="115" t="s">
        <v>61</v>
      </c>
      <c r="I3" s="116" t="s">
        <v>60</v>
      </c>
      <c r="J3" s="61"/>
      <c r="K3" s="61"/>
      <c r="L3" s="61"/>
      <c r="M3" s="61"/>
      <c r="N3" s="115" t="s">
        <v>61</v>
      </c>
      <c r="O3" s="116" t="s">
        <v>60</v>
      </c>
      <c r="P3" s="61"/>
      <c r="Q3" s="61"/>
      <c r="R3" s="61"/>
      <c r="S3" s="62"/>
      <c r="T3" s="115" t="s">
        <v>61</v>
      </c>
      <c r="U3" s="116" t="s">
        <v>60</v>
      </c>
      <c r="V3" s="61"/>
      <c r="W3" s="61"/>
      <c r="X3" s="61"/>
      <c r="Y3" s="62"/>
      <c r="Z3" s="61"/>
      <c r="AA3" s="61"/>
    </row>
    <row r="4" spans="1:27" x14ac:dyDescent="0.3">
      <c r="A4" t="s">
        <v>1</v>
      </c>
      <c r="B4" s="117">
        <v>241</v>
      </c>
      <c r="C4" s="118">
        <v>920</v>
      </c>
      <c r="D4" s="63">
        <v>225</v>
      </c>
      <c r="E4" s="63">
        <v>271</v>
      </c>
      <c r="F4" s="63">
        <v>225</v>
      </c>
      <c r="G4" s="63">
        <v>271</v>
      </c>
      <c r="H4" s="117">
        <v>238</v>
      </c>
      <c r="I4" s="118">
        <v>880</v>
      </c>
      <c r="J4" s="63">
        <v>221</v>
      </c>
      <c r="K4" s="63">
        <v>230</v>
      </c>
      <c r="L4" s="63">
        <v>221</v>
      </c>
      <c r="M4" s="63">
        <v>230</v>
      </c>
      <c r="N4" s="117">
        <v>360</v>
      </c>
      <c r="O4" s="118">
        <v>908</v>
      </c>
      <c r="P4" s="63">
        <v>336</v>
      </c>
      <c r="Q4" s="63">
        <v>260</v>
      </c>
      <c r="R4" s="63">
        <v>336</v>
      </c>
      <c r="S4" s="64">
        <v>260</v>
      </c>
      <c r="T4" s="117">
        <v>566</v>
      </c>
      <c r="U4" s="118">
        <v>1032</v>
      </c>
      <c r="V4" s="63">
        <v>542</v>
      </c>
      <c r="W4" s="63">
        <v>382</v>
      </c>
      <c r="X4" s="63">
        <v>542</v>
      </c>
      <c r="Y4" s="63">
        <v>382</v>
      </c>
    </row>
    <row r="5" spans="1:27" x14ac:dyDescent="0.3">
      <c r="A5" t="s">
        <v>2</v>
      </c>
      <c r="B5" s="117">
        <v>249</v>
      </c>
      <c r="C5" s="118">
        <v>912</v>
      </c>
      <c r="D5" s="63">
        <v>788</v>
      </c>
      <c r="E5" s="63">
        <v>175</v>
      </c>
      <c r="F5" s="63">
        <v>622</v>
      </c>
      <c r="G5" s="63">
        <v>975</v>
      </c>
      <c r="H5" s="117">
        <v>245</v>
      </c>
      <c r="I5" s="118">
        <v>872</v>
      </c>
      <c r="J5" s="63">
        <v>781</v>
      </c>
      <c r="K5" s="63">
        <v>135</v>
      </c>
      <c r="L5" s="63">
        <v>617</v>
      </c>
      <c r="M5" s="63">
        <v>935</v>
      </c>
      <c r="N5" s="117">
        <v>368</v>
      </c>
      <c r="O5" s="118">
        <v>900</v>
      </c>
      <c r="P5" s="63">
        <v>901</v>
      </c>
      <c r="Q5" s="63">
        <v>160</v>
      </c>
      <c r="R5" s="63">
        <v>744</v>
      </c>
      <c r="S5" s="64">
        <v>960</v>
      </c>
      <c r="T5" s="117">
        <v>573</v>
      </c>
      <c r="U5" s="118">
        <v>1023</v>
      </c>
      <c r="V5" s="63">
        <v>1107</v>
      </c>
      <c r="W5" s="63">
        <v>281</v>
      </c>
      <c r="X5" s="63">
        <v>950</v>
      </c>
      <c r="Y5" s="64">
        <v>1083</v>
      </c>
    </row>
    <row r="6" spans="1:27" x14ac:dyDescent="0.3">
      <c r="A6" t="s">
        <v>4</v>
      </c>
      <c r="B6" s="117">
        <f t="shared" ref="B6:S6" si="0">B5-B4</f>
        <v>8</v>
      </c>
      <c r="C6" s="118">
        <f t="shared" si="0"/>
        <v>-8</v>
      </c>
      <c r="D6" s="63">
        <f t="shared" si="0"/>
        <v>563</v>
      </c>
      <c r="E6" s="63">
        <f t="shared" si="0"/>
        <v>-96</v>
      </c>
      <c r="F6" s="63">
        <f t="shared" si="0"/>
        <v>397</v>
      </c>
      <c r="G6" s="63">
        <f t="shared" si="0"/>
        <v>704</v>
      </c>
      <c r="H6" s="117">
        <f t="shared" si="0"/>
        <v>7</v>
      </c>
      <c r="I6" s="118">
        <f t="shared" si="0"/>
        <v>-8</v>
      </c>
      <c r="J6" s="63">
        <f t="shared" si="0"/>
        <v>560</v>
      </c>
      <c r="K6" s="63">
        <f t="shared" si="0"/>
        <v>-95</v>
      </c>
      <c r="L6" s="63">
        <f t="shared" si="0"/>
        <v>396</v>
      </c>
      <c r="M6" s="63">
        <f t="shared" si="0"/>
        <v>705</v>
      </c>
      <c r="N6" s="117">
        <f t="shared" si="0"/>
        <v>8</v>
      </c>
      <c r="O6" s="118">
        <f t="shared" si="0"/>
        <v>-8</v>
      </c>
      <c r="P6" s="63">
        <f t="shared" si="0"/>
        <v>565</v>
      </c>
      <c r="Q6" s="63">
        <f t="shared" si="0"/>
        <v>-100</v>
      </c>
      <c r="R6" s="63">
        <f t="shared" si="0"/>
        <v>408</v>
      </c>
      <c r="S6" s="64">
        <f t="shared" si="0"/>
        <v>700</v>
      </c>
      <c r="T6" s="117">
        <f t="shared" ref="T6:Y6" si="1">T5-T4</f>
        <v>7</v>
      </c>
      <c r="U6" s="118">
        <f t="shared" si="1"/>
        <v>-9</v>
      </c>
      <c r="V6" s="63">
        <f t="shared" si="1"/>
        <v>565</v>
      </c>
      <c r="W6" s="63">
        <f t="shared" si="1"/>
        <v>-101</v>
      </c>
      <c r="X6" s="63">
        <f t="shared" si="1"/>
        <v>408</v>
      </c>
      <c r="Y6" s="64">
        <f t="shared" si="1"/>
        <v>701</v>
      </c>
    </row>
    <row r="7" spans="1:27" x14ac:dyDescent="0.3">
      <c r="A7" t="s">
        <v>5</v>
      </c>
      <c r="B7" s="117">
        <f t="shared" ref="B7:S7" si="2">B6^2</f>
        <v>64</v>
      </c>
      <c r="C7" s="118">
        <f t="shared" si="2"/>
        <v>64</v>
      </c>
      <c r="D7" s="63">
        <f t="shared" si="2"/>
        <v>316969</v>
      </c>
      <c r="E7" s="63">
        <f t="shared" si="2"/>
        <v>9216</v>
      </c>
      <c r="F7" s="63">
        <f t="shared" si="2"/>
        <v>157609</v>
      </c>
      <c r="G7" s="63">
        <f t="shared" si="2"/>
        <v>495616</v>
      </c>
      <c r="H7" s="117">
        <f t="shared" si="2"/>
        <v>49</v>
      </c>
      <c r="I7" s="118">
        <f t="shared" si="2"/>
        <v>64</v>
      </c>
      <c r="J7" s="63">
        <f t="shared" si="2"/>
        <v>313600</v>
      </c>
      <c r="K7" s="63">
        <f t="shared" si="2"/>
        <v>9025</v>
      </c>
      <c r="L7" s="63">
        <f t="shared" si="2"/>
        <v>156816</v>
      </c>
      <c r="M7" s="63">
        <f t="shared" si="2"/>
        <v>497025</v>
      </c>
      <c r="N7" s="117">
        <f t="shared" si="2"/>
        <v>64</v>
      </c>
      <c r="O7" s="118">
        <f t="shared" si="2"/>
        <v>64</v>
      </c>
      <c r="P7" s="63">
        <f t="shared" si="2"/>
        <v>319225</v>
      </c>
      <c r="Q7" s="63">
        <f t="shared" si="2"/>
        <v>10000</v>
      </c>
      <c r="R7" s="63">
        <f t="shared" si="2"/>
        <v>166464</v>
      </c>
      <c r="S7" s="64">
        <f t="shared" si="2"/>
        <v>490000</v>
      </c>
      <c r="T7" s="117">
        <f t="shared" ref="T7:Y7" si="3">T6^2</f>
        <v>49</v>
      </c>
      <c r="U7" s="118">
        <f t="shared" si="3"/>
        <v>81</v>
      </c>
      <c r="V7" s="63">
        <f t="shared" si="3"/>
        <v>319225</v>
      </c>
      <c r="W7" s="63">
        <f t="shared" si="3"/>
        <v>10201</v>
      </c>
      <c r="X7" s="63">
        <f t="shared" si="3"/>
        <v>166464</v>
      </c>
      <c r="Y7" s="64">
        <f t="shared" si="3"/>
        <v>491401</v>
      </c>
    </row>
    <row r="8" spans="1:27" x14ac:dyDescent="0.3">
      <c r="A8" t="s">
        <v>6</v>
      </c>
      <c r="B8" s="117"/>
      <c r="C8" s="118">
        <f>SQRT(SUM(B7:C7))</f>
        <v>11.313708498984761</v>
      </c>
      <c r="D8" s="63"/>
      <c r="E8" s="63">
        <f>SQRT(SUM(D7:E7))</f>
        <v>571.12608065119912</v>
      </c>
      <c r="F8" s="63"/>
      <c r="G8" s="63">
        <f>SQRT(SUM(F7:G7))</f>
        <v>808.22336021671629</v>
      </c>
      <c r="H8" s="117"/>
      <c r="I8" s="118">
        <f>SQRT(SUM(H7:I7))</f>
        <v>10.63014581273465</v>
      </c>
      <c r="J8" s="63"/>
      <c r="K8" s="63">
        <f>SQRT(SUM(J7:K7))</f>
        <v>568.00088028100799</v>
      </c>
      <c r="L8" s="63"/>
      <c r="M8" s="63">
        <f>SQRT(SUM(L7:M7))</f>
        <v>808.60435319134911</v>
      </c>
      <c r="N8" s="117"/>
      <c r="O8" s="118">
        <f>SQRT(SUM(N7:O7))</f>
        <v>11.313708498984761</v>
      </c>
      <c r="P8" s="63"/>
      <c r="Q8" s="63">
        <f>SQRT(SUM(P7:Q7))</f>
        <v>573.78131722808826</v>
      </c>
      <c r="R8" s="63"/>
      <c r="S8" s="64">
        <f>SQRT(SUM(R7:S7))</f>
        <v>810.22466020234162</v>
      </c>
      <c r="T8" s="117"/>
      <c r="U8" s="118">
        <f>SQRT(SUM(T7:U7))</f>
        <v>11.401754250991379</v>
      </c>
      <c r="V8" s="63"/>
      <c r="W8" s="63">
        <f>SQRT(SUM(V7:W7))</f>
        <v>573.95644434050917</v>
      </c>
      <c r="X8" s="63"/>
      <c r="Y8" s="64">
        <f>SQRT(SUM(X7:Y7))</f>
        <v>811.08877442607968</v>
      </c>
    </row>
    <row r="9" spans="1:27" x14ac:dyDescent="0.3">
      <c r="A9" t="s">
        <v>7</v>
      </c>
      <c r="B9" s="117"/>
      <c r="C9" s="141">
        <f>MOD(ATAN2(C6,B6)*180/PI()+270,360)</f>
        <v>45</v>
      </c>
      <c r="D9" s="63"/>
      <c r="E9" s="63">
        <f>MOD(ATAN2(E6,D6)*180/PI()+270,360)</f>
        <v>9.6767268300643536</v>
      </c>
      <c r="F9" s="63"/>
      <c r="G9" s="63">
        <f>MOD(ATAN2(G6,F6)*180/PI()+270,360)</f>
        <v>299.4195404348078</v>
      </c>
      <c r="H9" s="117"/>
      <c r="I9" s="141">
        <f>MOD(ATAN2(I6,H6)*180/PI()+270,360)</f>
        <v>48.814074834290352</v>
      </c>
      <c r="J9" s="63"/>
      <c r="K9" s="63">
        <f>MOD(ATAN2(K6,J6)*180/PI()+270,360)</f>
        <v>9.6281561284866939</v>
      </c>
      <c r="L9" s="63"/>
      <c r="M9" s="63">
        <f>MOD(ATAN2(M6,L6)*180/PI()+270,360)</f>
        <v>299.3230147963327</v>
      </c>
      <c r="N9" s="117"/>
      <c r="O9" s="141">
        <f>MOD(ATAN2(O6,N6)*180/PI()+270,360)</f>
        <v>45</v>
      </c>
      <c r="P9" s="63"/>
      <c r="Q9" s="63">
        <f>MOD(ATAN2(Q6,P6)*180/PI()+270,360)</f>
        <v>10.036902453963478</v>
      </c>
      <c r="R9" s="63"/>
      <c r="S9" s="64">
        <f>MOD(ATAN2(S6,R6)*180/PI()+270,360)</f>
        <v>300.23607619085647</v>
      </c>
      <c r="T9" s="117"/>
      <c r="U9" s="141">
        <f>MOD(ATAN2(U6,T6)*180/PI()+270,360)</f>
        <v>52.125016348901795</v>
      </c>
      <c r="V9" s="63"/>
      <c r="W9" s="63">
        <f>MOD(ATAN2(W6,V6)*180/PI()+270,360)</f>
        <v>10.135200741866697</v>
      </c>
      <c r="X9" s="63"/>
      <c r="Y9" s="64">
        <f>MOD(ATAN2(Y6,X6)*180/PI()+270,360)</f>
        <v>300.20050413420427</v>
      </c>
    </row>
    <row r="10" spans="1:27" s="17" customFormat="1" ht="117" customHeight="1" x14ac:dyDescent="0.3">
      <c r="A10" s="16" t="s">
        <v>40</v>
      </c>
      <c r="B10" s="383" t="s">
        <v>213</v>
      </c>
      <c r="C10" s="384"/>
      <c r="D10" s="385"/>
      <c r="E10" s="385"/>
      <c r="F10" s="385"/>
      <c r="G10" s="385"/>
      <c r="H10" s="383" t="s">
        <v>213</v>
      </c>
      <c r="I10" s="384"/>
      <c r="J10" s="385"/>
      <c r="K10" s="385"/>
      <c r="L10" s="385"/>
      <c r="M10" s="385"/>
      <c r="N10" s="383" t="s">
        <v>213</v>
      </c>
      <c r="O10" s="384"/>
      <c r="P10" s="385"/>
      <c r="Q10" s="385"/>
      <c r="R10" s="385"/>
      <c r="S10" s="386"/>
      <c r="T10" s="383" t="s">
        <v>213</v>
      </c>
      <c r="U10" s="384"/>
      <c r="V10" s="385"/>
      <c r="W10" s="385"/>
      <c r="X10" s="385"/>
      <c r="Y10" s="386"/>
      <c r="Z10" s="382"/>
      <c r="AA10" s="382"/>
    </row>
    <row r="11" spans="1:27" s="19" customFormat="1" x14ac:dyDescent="0.3">
      <c r="A11" s="20" t="s">
        <v>37</v>
      </c>
      <c r="B11" s="119"/>
      <c r="C11" s="120"/>
      <c r="D11" s="67"/>
      <c r="E11" s="67"/>
      <c r="F11" s="67"/>
      <c r="G11" s="67"/>
      <c r="H11" s="119"/>
      <c r="I11" s="120"/>
      <c r="J11" s="67"/>
      <c r="K11" s="67"/>
      <c r="L11" s="67"/>
      <c r="M11" s="67"/>
      <c r="N11" s="119"/>
      <c r="O11" s="120"/>
      <c r="P11" s="67"/>
      <c r="Q11" s="67"/>
      <c r="R11" s="67"/>
      <c r="S11" s="68"/>
      <c r="T11" s="119"/>
      <c r="U11" s="120"/>
      <c r="V11" s="67"/>
      <c r="W11" s="67"/>
      <c r="X11" s="67"/>
      <c r="Y11" s="68"/>
      <c r="Z11" s="67"/>
      <c r="AA11" s="67"/>
    </row>
    <row r="12" spans="1:27" s="1" customFormat="1" x14ac:dyDescent="0.3">
      <c r="B12" s="121" t="s">
        <v>62</v>
      </c>
      <c r="C12" s="122" t="s">
        <v>63</v>
      </c>
      <c r="D12" s="69"/>
      <c r="E12" s="69"/>
      <c r="F12" s="69"/>
      <c r="G12" s="69"/>
      <c r="H12" s="121" t="s">
        <v>62</v>
      </c>
      <c r="I12" s="122" t="s">
        <v>63</v>
      </c>
      <c r="J12" s="69"/>
      <c r="K12" s="69"/>
      <c r="L12" s="69"/>
      <c r="M12" s="69"/>
      <c r="N12" s="121" t="s">
        <v>62</v>
      </c>
      <c r="O12" s="122" t="s">
        <v>63</v>
      </c>
      <c r="P12" s="69"/>
      <c r="Q12" s="69"/>
      <c r="R12" s="69"/>
      <c r="S12" s="70"/>
      <c r="T12" s="121" t="s">
        <v>62</v>
      </c>
      <c r="U12" s="122" t="s">
        <v>63</v>
      </c>
      <c r="V12" s="69"/>
      <c r="W12" s="69"/>
      <c r="X12" s="69"/>
      <c r="Y12" s="70"/>
      <c r="Z12" s="69"/>
      <c r="AA12" s="69"/>
    </row>
    <row r="13" spans="1:27" x14ac:dyDescent="0.3">
      <c r="A13" t="s">
        <v>18</v>
      </c>
      <c r="B13" s="117"/>
      <c r="C13" s="118"/>
      <c r="D13" s="63"/>
      <c r="E13" s="63"/>
      <c r="F13" s="63"/>
      <c r="G13" s="63"/>
      <c r="H13" s="117"/>
      <c r="I13" s="118"/>
      <c r="J13" s="63"/>
      <c r="K13" s="63"/>
      <c r="L13" s="63"/>
      <c r="M13" s="63"/>
      <c r="N13" s="117"/>
      <c r="O13" s="118"/>
      <c r="P13" s="63"/>
      <c r="Q13" s="63"/>
      <c r="R13" s="63"/>
      <c r="S13" s="64"/>
      <c r="T13" s="117"/>
      <c r="U13" s="118"/>
      <c r="V13" s="63"/>
      <c r="W13" s="63"/>
      <c r="X13" s="63"/>
      <c r="Y13" s="64"/>
    </row>
    <row r="14" spans="1:27" x14ac:dyDescent="0.3">
      <c r="A14" t="s">
        <v>17</v>
      </c>
      <c r="B14" s="117"/>
      <c r="C14" s="118"/>
      <c r="D14" s="63"/>
      <c r="E14" s="63"/>
      <c r="F14" s="63"/>
      <c r="G14" s="63"/>
      <c r="H14" s="117"/>
      <c r="I14" s="118"/>
      <c r="J14" s="63"/>
      <c r="K14" s="63"/>
      <c r="L14" s="63"/>
      <c r="M14" s="63"/>
      <c r="N14" s="117"/>
      <c r="O14" s="118"/>
      <c r="P14" s="63"/>
      <c r="Q14" s="63"/>
      <c r="R14" s="63"/>
      <c r="S14" s="64"/>
      <c r="T14" s="117"/>
      <c r="U14" s="118"/>
      <c r="V14" s="63"/>
      <c r="W14" s="63"/>
      <c r="X14" s="63"/>
      <c r="Y14" s="64"/>
    </row>
    <row r="15" spans="1:27" x14ac:dyDescent="0.3">
      <c r="A15" t="s">
        <v>14</v>
      </c>
      <c r="B15" s="117"/>
      <c r="C15" s="118"/>
      <c r="D15" s="63"/>
      <c r="E15" s="63"/>
      <c r="F15" s="63"/>
      <c r="G15" s="63"/>
      <c r="H15" s="117"/>
      <c r="I15" s="118"/>
      <c r="J15" s="63"/>
      <c r="K15" s="63"/>
      <c r="L15" s="63"/>
      <c r="M15" s="63"/>
      <c r="N15" s="117"/>
      <c r="O15" s="118"/>
      <c r="P15" s="63"/>
      <c r="Q15" s="63"/>
      <c r="R15" s="63"/>
      <c r="S15" s="64"/>
      <c r="T15" s="117"/>
      <c r="U15" s="118"/>
      <c r="V15" s="63"/>
      <c r="W15" s="63"/>
      <c r="X15" s="63"/>
      <c r="Y15" s="64"/>
    </row>
    <row r="16" spans="1:27" x14ac:dyDescent="0.3">
      <c r="A16" t="s">
        <v>13</v>
      </c>
      <c r="B16" s="117"/>
      <c r="C16" s="118">
        <v>12.651999999999999</v>
      </c>
      <c r="D16" s="63"/>
      <c r="E16" s="111">
        <f>10*60+5.9</f>
        <v>605.9</v>
      </c>
      <c r="F16" s="63"/>
      <c r="G16" s="111">
        <f>14*60+18.9</f>
        <v>858.9</v>
      </c>
      <c r="H16" s="117"/>
      <c r="I16" s="118">
        <v>12.651999999999999</v>
      </c>
      <c r="J16" s="63"/>
      <c r="K16" s="111">
        <f>10*60+5.9</f>
        <v>605.9</v>
      </c>
      <c r="L16" s="63"/>
      <c r="M16" s="111">
        <f>14*60+18.9</f>
        <v>858.9</v>
      </c>
      <c r="N16" s="117"/>
      <c r="O16" s="118">
        <v>12.651999999999999</v>
      </c>
      <c r="P16" s="63"/>
      <c r="Q16" s="111">
        <f>10*60+5.9</f>
        <v>605.9</v>
      </c>
      <c r="R16" s="63"/>
      <c r="S16" s="124">
        <f>14*60+18.9</f>
        <v>858.9</v>
      </c>
      <c r="T16" s="117"/>
      <c r="U16" s="118">
        <v>12.651999999999999</v>
      </c>
      <c r="V16" s="63"/>
      <c r="W16" s="111">
        <f>10*60+5.9</f>
        <v>605.9</v>
      </c>
      <c r="X16" s="63"/>
      <c r="Y16" s="124">
        <f>14*60+18.9</f>
        <v>858.9</v>
      </c>
      <c r="AA16" s="111"/>
    </row>
    <row r="17" spans="1:27" x14ac:dyDescent="0.3">
      <c r="A17" t="s">
        <v>7</v>
      </c>
      <c r="B17" s="117"/>
      <c r="C17" s="118">
        <v>314.58999999999997</v>
      </c>
      <c r="D17" s="63"/>
      <c r="E17" s="63">
        <v>273</v>
      </c>
      <c r="F17" s="63"/>
      <c r="G17" s="63">
        <v>203</v>
      </c>
      <c r="H17" s="117"/>
      <c r="I17" s="118">
        <v>314.58999999999997</v>
      </c>
      <c r="J17" s="63"/>
      <c r="K17" s="63">
        <v>273</v>
      </c>
      <c r="L17" s="63"/>
      <c r="M17" s="63">
        <v>203</v>
      </c>
      <c r="N17" s="117"/>
      <c r="O17" s="118">
        <v>314.58999999999997</v>
      </c>
      <c r="P17" s="63"/>
      <c r="Q17" s="63">
        <v>273</v>
      </c>
      <c r="R17" s="63"/>
      <c r="S17" s="64">
        <v>203</v>
      </c>
      <c r="T17" s="117"/>
      <c r="U17" s="118">
        <v>314.58999999999997</v>
      </c>
      <c r="V17" s="63"/>
      <c r="W17" s="63">
        <v>273</v>
      </c>
      <c r="X17" s="63"/>
      <c r="Y17" s="64">
        <v>203</v>
      </c>
    </row>
    <row r="18" spans="1:27" x14ac:dyDescent="0.3">
      <c r="A18" t="s">
        <v>32</v>
      </c>
      <c r="B18" s="71">
        <f>-C16*SIN((C17)/180*PI())</f>
        <v>9.0101038844121604</v>
      </c>
      <c r="C18" s="72">
        <f>C16*COS((C17)/180*PI())</f>
        <v>8.8820680019971068</v>
      </c>
      <c r="D18" s="72">
        <f>-E16*SIN((E17)/180*PI())</f>
        <v>605.06963510779633</v>
      </c>
      <c r="E18" s="72">
        <f>E16*COS((E17)/180*PI())</f>
        <v>31.710355887599196</v>
      </c>
      <c r="F18" s="72">
        <f>-G16*SIN((G17)/180*PI())</f>
        <v>335.59896625943702</v>
      </c>
      <c r="G18" s="72">
        <f>G16*COS((G17)/180*PI())</f>
        <v>-790.62161863030099</v>
      </c>
      <c r="H18" s="71">
        <f>-I16*SIN((I17)/180*PI())</f>
        <v>9.0101038844121604</v>
      </c>
      <c r="I18" s="72">
        <f>I16*COS((I17)/180*PI())</f>
        <v>8.8820680019971068</v>
      </c>
      <c r="J18" s="72">
        <f>-K16*SIN((K17)/180*PI())</f>
        <v>605.06963510779633</v>
      </c>
      <c r="K18" s="72">
        <f>K16*COS((K17)/180*PI())</f>
        <v>31.710355887599196</v>
      </c>
      <c r="L18" s="72">
        <f>-M16*SIN((M17)/180*PI())</f>
        <v>335.59896625943702</v>
      </c>
      <c r="M18" s="72">
        <f>M16*COS((M17)/180*PI())</f>
        <v>-790.62161863030099</v>
      </c>
      <c r="N18" s="71">
        <f>-O16*SIN((O17)/180*PI())</f>
        <v>9.0101038844121604</v>
      </c>
      <c r="O18" s="72">
        <f>O16*COS((O17)/180*PI())</f>
        <v>8.8820680019971068</v>
      </c>
      <c r="P18" s="72">
        <f>-Q16*SIN((Q17)/180*PI())</f>
        <v>605.06963510779633</v>
      </c>
      <c r="Q18" s="72">
        <f>Q16*COS((Q17)/180*PI())</f>
        <v>31.710355887599196</v>
      </c>
      <c r="R18" s="72">
        <f>-S16*SIN((S17)/180*PI())</f>
        <v>335.59896625943702</v>
      </c>
      <c r="S18" s="125">
        <f>S16*COS((S17)/180*PI())</f>
        <v>-790.62161863030099</v>
      </c>
      <c r="T18" s="71">
        <f>-U16*SIN((U17)/180*PI())</f>
        <v>9.0101038844121604</v>
      </c>
      <c r="U18" s="72">
        <f>U16*COS((U17)/180*PI())</f>
        <v>8.8820680019971068</v>
      </c>
      <c r="V18" s="72">
        <f>-W16*SIN((W17)/180*PI())</f>
        <v>605.06963510779633</v>
      </c>
      <c r="W18" s="72">
        <f>W16*COS((W17)/180*PI())</f>
        <v>31.710355887599196</v>
      </c>
      <c r="X18" s="72">
        <f>-Y16*SIN((Y17)/180*PI())</f>
        <v>335.59896625943702</v>
      </c>
      <c r="Y18" s="125">
        <f>Y16*COS((Y17)/180*PI())</f>
        <v>-790.62161863030099</v>
      </c>
      <c r="Z18" s="72"/>
      <c r="AA18" s="72"/>
    </row>
    <row r="19" spans="1:27" s="14" customFormat="1" ht="69" customHeight="1" x14ac:dyDescent="0.3">
      <c r="A19" s="15" t="s">
        <v>40</v>
      </c>
      <c r="B19" s="387"/>
      <c r="C19" s="388"/>
      <c r="D19" s="65"/>
      <c r="E19" s="65"/>
      <c r="F19" s="65"/>
      <c r="G19" s="65"/>
      <c r="H19" s="387"/>
      <c r="I19" s="388"/>
      <c r="J19" s="65"/>
      <c r="K19" s="65"/>
      <c r="L19" s="65"/>
      <c r="M19" s="65"/>
      <c r="N19" s="387"/>
      <c r="O19" s="388"/>
      <c r="P19" s="65"/>
      <c r="Q19" s="65"/>
      <c r="R19" s="65"/>
      <c r="S19" s="66"/>
      <c r="T19" s="387"/>
      <c r="U19" s="388"/>
      <c r="V19" s="65"/>
      <c r="W19" s="65"/>
      <c r="X19" s="65"/>
      <c r="Y19" s="66"/>
      <c r="Z19" s="65"/>
      <c r="AA19" s="65"/>
    </row>
    <row r="20" spans="1:27" s="19" customFormat="1" x14ac:dyDescent="0.3">
      <c r="A20" s="18" t="s">
        <v>38</v>
      </c>
      <c r="B20" s="126"/>
      <c r="C20" s="127"/>
      <c r="D20" s="67"/>
      <c r="E20" s="67"/>
      <c r="F20" s="67"/>
      <c r="G20" s="67"/>
      <c r="H20" s="126"/>
      <c r="I20" s="127"/>
      <c r="J20" s="67"/>
      <c r="K20" s="67"/>
      <c r="L20" s="67"/>
      <c r="M20" s="67"/>
      <c r="N20" s="126"/>
      <c r="O20" s="127"/>
      <c r="P20" s="67"/>
      <c r="Q20" s="67"/>
      <c r="R20" s="67"/>
      <c r="S20" s="68"/>
      <c r="T20" s="126"/>
      <c r="U20" s="127"/>
      <c r="V20" s="67"/>
      <c r="W20" s="67"/>
      <c r="X20" s="67"/>
      <c r="Y20" s="68"/>
      <c r="Z20" s="67"/>
      <c r="AA20" s="67"/>
    </row>
    <row r="21" spans="1:27" x14ac:dyDescent="0.3">
      <c r="A21" s="7" t="s">
        <v>65</v>
      </c>
      <c r="B21" s="117"/>
      <c r="C21" s="118">
        <f>C16/C8</f>
        <v>1.1182893744465248</v>
      </c>
      <c r="D21" s="63"/>
      <c r="E21" s="118">
        <f>E16/E8</f>
        <v>1.0608865897161475</v>
      </c>
      <c r="F21" s="63"/>
      <c r="G21" s="118">
        <f>G16/G8</f>
        <v>1.0627012807074709</v>
      </c>
      <c r="H21" s="117"/>
      <c r="I21" s="118">
        <f>I16/I8</f>
        <v>1.1902000426789272</v>
      </c>
      <c r="J21" s="63"/>
      <c r="K21" s="118">
        <f>K16/K8</f>
        <v>1.0667236989144138</v>
      </c>
      <c r="L21" s="63"/>
      <c r="M21" s="118">
        <f>M16/M8</f>
        <v>1.0622005639842862</v>
      </c>
      <c r="N21" s="117"/>
      <c r="O21" s="118">
        <f>O16/O8</f>
        <v>1.1182893744465248</v>
      </c>
      <c r="P21" s="63"/>
      <c r="Q21" s="118">
        <f>Q16/Q8</f>
        <v>1.05597721955653</v>
      </c>
      <c r="R21" s="63"/>
      <c r="S21" s="128">
        <f>S16/S8</f>
        <v>1.0600763494232606</v>
      </c>
      <c r="T21" s="117"/>
      <c r="U21" s="118">
        <f>U16/U8</f>
        <v>1.1096538060272534</v>
      </c>
      <c r="V21" s="63"/>
      <c r="W21" s="118">
        <f>W16/W8</f>
        <v>1.0556550169868635</v>
      </c>
      <c r="X21" s="63"/>
      <c r="Y21" s="128">
        <f>Y16/Y8</f>
        <v>1.0589469699019705</v>
      </c>
      <c r="AA21" s="118"/>
    </row>
    <row r="22" spans="1:27" x14ac:dyDescent="0.3">
      <c r="A22" t="s">
        <v>34</v>
      </c>
      <c r="B22" s="117">
        <f>STDEV(B21:S21)</f>
        <v>4.5520793482249099E-2</v>
      </c>
      <c r="C22" s="129">
        <f>AVERAGE(B21:S21)</f>
        <v>1.0883716104304539</v>
      </c>
      <c r="D22" s="63"/>
      <c r="E22" s="63"/>
      <c r="F22" s="63"/>
      <c r="G22" s="63"/>
      <c r="H22" s="117"/>
      <c r="I22" s="129"/>
      <c r="J22" s="63"/>
      <c r="K22" s="63"/>
      <c r="L22" s="63"/>
      <c r="M22" s="63"/>
      <c r="N22" s="117"/>
      <c r="O22" s="129"/>
      <c r="P22" s="63"/>
      <c r="Q22" s="63"/>
      <c r="R22" s="63"/>
      <c r="S22" s="64"/>
      <c r="T22" s="117"/>
      <c r="U22" s="129"/>
      <c r="V22" s="63"/>
      <c r="W22" s="63"/>
      <c r="X22" s="63"/>
      <c r="Y22" s="64"/>
    </row>
    <row r="23" spans="1:27" x14ac:dyDescent="0.3">
      <c r="A23" t="s">
        <v>35</v>
      </c>
      <c r="B23" s="117"/>
      <c r="C23" s="118">
        <f>C21-$C22</f>
        <v>2.9917764016070825E-2</v>
      </c>
      <c r="D23" s="63"/>
      <c r="E23" s="118">
        <f>E21-$C22</f>
        <v>-2.7485020714306474E-2</v>
      </c>
      <c r="F23" s="63"/>
      <c r="G23" s="118">
        <f>G21-$C22</f>
        <v>-2.5670329722982999E-2</v>
      </c>
      <c r="H23" s="117"/>
      <c r="I23" s="118">
        <f>I21-$C22</f>
        <v>0.10182843224847327</v>
      </c>
      <c r="J23" s="63"/>
      <c r="K23" s="118">
        <f>K21-$C22</f>
        <v>-2.1647911516040175E-2</v>
      </c>
      <c r="L23" s="63"/>
      <c r="M23" s="118">
        <f>M21-$C22</f>
        <v>-2.6171046446167745E-2</v>
      </c>
      <c r="N23" s="117"/>
      <c r="O23" s="118">
        <f>O21-$C22</f>
        <v>2.9917764016070825E-2</v>
      </c>
      <c r="P23" s="63"/>
      <c r="Q23" s="118">
        <f>Q21-$C22</f>
        <v>-3.2394390873923928E-2</v>
      </c>
      <c r="R23" s="63"/>
      <c r="S23" s="128">
        <f>S21-$C22</f>
        <v>-2.8295261007193373E-2</v>
      </c>
      <c r="T23" s="117"/>
      <c r="U23" s="118">
        <f>U21-$C22</f>
        <v>2.1282195596799447E-2</v>
      </c>
      <c r="V23" s="63"/>
      <c r="W23" s="118">
        <f>W21-$C22</f>
        <v>-3.2716593443590458E-2</v>
      </c>
      <c r="X23" s="63"/>
      <c r="Y23" s="128">
        <f>Y21-$C22</f>
        <v>-2.9424640528483481E-2</v>
      </c>
      <c r="AA23" s="118"/>
    </row>
    <row r="24" spans="1:27" x14ac:dyDescent="0.3">
      <c r="A24" s="7" t="s">
        <v>64</v>
      </c>
      <c r="B24" s="117"/>
      <c r="C24" s="74">
        <f>MOD(C9-C17,360)</f>
        <v>90.410000000000025</v>
      </c>
      <c r="D24" s="63"/>
      <c r="E24" s="74">
        <f>MOD(E9-E17,360)</f>
        <v>96.676726830064354</v>
      </c>
      <c r="F24" s="63"/>
      <c r="G24" s="74">
        <f>MOD(G9-G17,360)</f>
        <v>96.4195404348078</v>
      </c>
      <c r="H24" s="117"/>
      <c r="I24" s="74">
        <f>MOD(I9-I17,360)</f>
        <v>94.224074834290377</v>
      </c>
      <c r="J24" s="63"/>
      <c r="K24" s="74">
        <f>MOD(K9-K17,360)</f>
        <v>96.628156128486694</v>
      </c>
      <c r="L24" s="63"/>
      <c r="M24" s="74">
        <f>MOD(M9-M17,360)</f>
        <v>96.3230147963327</v>
      </c>
      <c r="N24" s="117"/>
      <c r="O24" s="74">
        <f>MOD(O9-O17,360)</f>
        <v>90.410000000000025</v>
      </c>
      <c r="P24" s="63"/>
      <c r="Q24" s="74">
        <f>MOD(Q9-Q17,360)</f>
        <v>97.036902453963478</v>
      </c>
      <c r="R24" s="63"/>
      <c r="S24" s="138">
        <f>MOD(S9-S17,360)</f>
        <v>97.236076190856465</v>
      </c>
      <c r="T24" s="117"/>
      <c r="U24" s="74">
        <f>MOD(U9-U17,360)</f>
        <v>97.53501634890182</v>
      </c>
      <c r="V24" s="63"/>
      <c r="W24" s="74">
        <f>MOD(W9-W17,360)</f>
        <v>97.135200741866697</v>
      </c>
      <c r="X24" s="63"/>
      <c r="Y24" s="138">
        <f>MOD(Y9-Y17,360)</f>
        <v>97.200504134204266</v>
      </c>
      <c r="AA24" s="74"/>
    </row>
    <row r="25" spans="1:27" x14ac:dyDescent="0.3">
      <c r="A25" t="s">
        <v>36</v>
      </c>
      <c r="B25" s="117">
        <f>STDEV(B24:S24)</f>
        <v>2.7636089417787111</v>
      </c>
      <c r="C25" s="118">
        <f>AVERAGE(B24:S24)</f>
        <v>95.040499074311327</v>
      </c>
      <c r="D25" s="63"/>
      <c r="E25" s="63"/>
      <c r="F25" s="63"/>
      <c r="G25" s="63"/>
      <c r="H25" s="117">
        <f>STDEV(H24:K24)</f>
        <v>1.699942185649947</v>
      </c>
      <c r="I25" s="118">
        <f>AVERAGE(H24:K24)</f>
        <v>95.426115481388535</v>
      </c>
      <c r="J25" s="63"/>
      <c r="K25" s="63"/>
      <c r="L25" s="63"/>
      <c r="M25" s="63"/>
      <c r="N25" s="117">
        <f>STDEV(N24:Q24)</f>
        <v>4.6859276634593297</v>
      </c>
      <c r="O25" s="118">
        <f>AVERAGE(N24:Q24)</f>
        <v>93.723451226981751</v>
      </c>
      <c r="P25" s="63"/>
      <c r="Q25" s="63"/>
      <c r="R25" s="63"/>
      <c r="S25" s="64"/>
      <c r="T25" s="117">
        <f>STDEV(T24:W24)</f>
        <v>0.28271232695875131</v>
      </c>
      <c r="U25" s="118">
        <f>AVERAGE(T24:W24)</f>
        <v>97.335108545384259</v>
      </c>
      <c r="V25" s="63"/>
      <c r="W25" s="63"/>
      <c r="X25" s="63"/>
      <c r="Y25" s="64"/>
    </row>
    <row r="26" spans="1:27" x14ac:dyDescent="0.3">
      <c r="A26" t="s">
        <v>35</v>
      </c>
      <c r="B26" s="117"/>
      <c r="C26" s="118">
        <f>C24-$C25</f>
        <v>-4.6304990743113024</v>
      </c>
      <c r="D26" s="63"/>
      <c r="E26" s="63">
        <f>E24-$C25</f>
        <v>1.6362277557530263</v>
      </c>
      <c r="F26" s="63"/>
      <c r="G26" s="63">
        <f>G24-$C25</f>
        <v>1.3790413604964726</v>
      </c>
      <c r="H26" s="117"/>
      <c r="I26" s="118">
        <f>I24-$C25</f>
        <v>-0.81642424002095026</v>
      </c>
      <c r="J26" s="63"/>
      <c r="K26" s="63">
        <f>K24-$C25</f>
        <v>1.5876570541753665</v>
      </c>
      <c r="L26" s="63"/>
      <c r="M26" s="63">
        <f>M24-$C25</f>
        <v>1.2825157220213725</v>
      </c>
      <c r="N26" s="117"/>
      <c r="O26" s="118">
        <f>O24-$C25</f>
        <v>-4.6304990743113024</v>
      </c>
      <c r="P26" s="63"/>
      <c r="Q26" s="63">
        <f>Q24-$C25</f>
        <v>1.9964033796521505</v>
      </c>
      <c r="R26" s="63"/>
      <c r="S26" s="64">
        <f>S24-$C25</f>
        <v>2.1955771165451381</v>
      </c>
      <c r="T26" s="117"/>
      <c r="U26" s="118">
        <f>U24-$C25</f>
        <v>2.4945172745904927</v>
      </c>
      <c r="V26" s="63"/>
      <c r="W26" s="63">
        <f>W24-$C25</f>
        <v>2.0947016675553698</v>
      </c>
      <c r="X26" s="63"/>
      <c r="Y26" s="64">
        <f>Y24-$C25</f>
        <v>2.1600050598929386</v>
      </c>
      <c r="AA26" s="118"/>
    </row>
    <row r="27" spans="1:27" x14ac:dyDescent="0.3">
      <c r="A27" t="s">
        <v>67</v>
      </c>
      <c r="B27" s="117"/>
      <c r="C27" s="118">
        <f>SQRT(C16)</f>
        <v>3.5569649984221097</v>
      </c>
      <c r="D27" s="63"/>
      <c r="E27" s="63">
        <f>SQRT(E16)</f>
        <v>24.615036055224458</v>
      </c>
      <c r="F27" s="63"/>
      <c r="G27" s="63">
        <f>SQRT(G16)</f>
        <v>29.306995751867845</v>
      </c>
      <c r="H27" s="117"/>
      <c r="I27" s="118">
        <f>SQRT(I16)</f>
        <v>3.5569649984221097</v>
      </c>
      <c r="J27" s="63"/>
      <c r="K27" s="63">
        <f>SQRT(K16)</f>
        <v>24.615036055224458</v>
      </c>
      <c r="L27" s="63"/>
      <c r="M27" s="63">
        <f>SQRT(M16)</f>
        <v>29.306995751867845</v>
      </c>
      <c r="N27" s="117"/>
      <c r="O27" s="118">
        <f>SQRT(O16)</f>
        <v>3.5569649984221097</v>
      </c>
      <c r="P27" s="63"/>
      <c r="Q27" s="63">
        <f>SQRT(Q16)</f>
        <v>24.615036055224458</v>
      </c>
      <c r="R27" s="63"/>
      <c r="S27" s="64">
        <f>SQRT(S16)</f>
        <v>29.306995751867845</v>
      </c>
      <c r="T27" s="117"/>
      <c r="U27" s="118">
        <f>SQRT(U16)</f>
        <v>3.5569649984221097</v>
      </c>
      <c r="V27" s="63"/>
      <c r="W27" s="63">
        <f>SQRT(W16)</f>
        <v>24.615036055224458</v>
      </c>
      <c r="X27" s="63"/>
      <c r="Y27" s="64">
        <f>SQRT(Y16)</f>
        <v>29.306995751867845</v>
      </c>
    </row>
    <row r="28" spans="1:27" x14ac:dyDescent="0.3">
      <c r="A28" s="10" t="s">
        <v>68</v>
      </c>
      <c r="B28" s="117"/>
      <c r="C28" s="118">
        <f>C27*C21</f>
        <v>3.9777161630136448</v>
      </c>
      <c r="D28" s="63"/>
      <c r="E28" s="118">
        <f>E27*E21</f>
        <v>26.113761656367085</v>
      </c>
      <c r="F28" s="63"/>
      <c r="G28" s="118">
        <f>G27*G21</f>
        <v>31.144581919198369</v>
      </c>
      <c r="H28" s="117"/>
      <c r="I28" s="118">
        <f>I27*I21</f>
        <v>4.2334998929294452</v>
      </c>
      <c r="J28" s="63"/>
      <c r="K28" s="118">
        <f>K27*K21</f>
        <v>26.257442309740693</v>
      </c>
      <c r="L28" s="63"/>
      <c r="M28" s="118">
        <f>M27*M21</f>
        <v>31.129907416319103</v>
      </c>
      <c r="N28" s="117"/>
      <c r="O28" s="118">
        <f>O27*O21</f>
        <v>3.9777161630136448</v>
      </c>
      <c r="P28" s="63"/>
      <c r="Q28" s="118">
        <f>Q27*Q21</f>
        <v>25.99291733287966</v>
      </c>
      <c r="R28" s="63"/>
      <c r="S28" s="128">
        <f>S27*S21</f>
        <v>31.067653069203072</v>
      </c>
      <c r="T28" s="117"/>
      <c r="U28" s="118">
        <f>U27*U21</f>
        <v>3.9469997484048172</v>
      </c>
      <c r="V28" s="63"/>
      <c r="W28" s="118">
        <f>W27*W21</f>
        <v>25.984986305010231</v>
      </c>
      <c r="X28" s="63"/>
      <c r="Y28" s="128">
        <f>Y27*Y21</f>
        <v>31.034554348370374</v>
      </c>
      <c r="AA28" s="118"/>
    </row>
    <row r="29" spans="1:27" x14ac:dyDescent="0.3">
      <c r="A29" s="7" t="s">
        <v>69</v>
      </c>
      <c r="B29" s="117"/>
      <c r="C29" s="139">
        <f>SUM(B28:S28)/SUM(B27:S27)</f>
        <v>1.0664486516404788</v>
      </c>
      <c r="D29" s="63"/>
      <c r="E29" s="63"/>
      <c r="F29" s="63"/>
      <c r="G29" s="63"/>
      <c r="H29" s="117"/>
      <c r="I29" s="139">
        <f>SUM(H28:M28)/SUM(H27:M27)</f>
        <v>1.0720585438797614</v>
      </c>
      <c r="J29" s="63"/>
      <c r="K29" s="63"/>
      <c r="L29" s="63"/>
      <c r="M29" s="63"/>
      <c r="N29" s="117"/>
      <c r="O29" s="139">
        <f>SUM(N28:S28)/SUM(N27:S27)</f>
        <v>1.0619233103810972</v>
      </c>
      <c r="P29" s="63"/>
      <c r="Q29" s="63"/>
      <c r="R29" s="63"/>
      <c r="S29" s="64"/>
      <c r="T29" s="117"/>
      <c r="U29" s="139">
        <f>SUM(T28:Y28)/SUM(T27:Y27)</f>
        <v>1.0606750950798853</v>
      </c>
      <c r="V29" s="63"/>
      <c r="W29" s="63"/>
      <c r="X29" s="63"/>
      <c r="Y29" s="64"/>
    </row>
    <row r="30" spans="1:27" x14ac:dyDescent="0.3">
      <c r="A30" t="s">
        <v>72</v>
      </c>
      <c r="B30" s="117"/>
      <c r="C30" s="139">
        <f>C21-$C$29</f>
        <v>5.1840722806046013E-2</v>
      </c>
      <c r="D30" s="63"/>
      <c r="E30" s="75">
        <f>E21-$C$29</f>
        <v>-5.5620619243312852E-3</v>
      </c>
      <c r="F30" s="63"/>
      <c r="G30" s="75">
        <f>G21-$C$29</f>
        <v>-3.7473709330078098E-3</v>
      </c>
      <c r="H30" s="117"/>
      <c r="I30" s="139">
        <f>I21-$C$29</f>
        <v>0.12375139103844846</v>
      </c>
      <c r="J30" s="63"/>
      <c r="K30" s="75">
        <f>K21-$C$29</f>
        <v>2.7504727393501405E-4</v>
      </c>
      <c r="L30" s="63"/>
      <c r="M30" s="75">
        <f>M21-$C$29</f>
        <v>-4.2480876561925562E-3</v>
      </c>
      <c r="N30" s="117"/>
      <c r="O30" s="139">
        <f>O21-$C$29</f>
        <v>5.1840722806046013E-2</v>
      </c>
      <c r="P30" s="63"/>
      <c r="Q30" s="75">
        <f>Q21-$C$29</f>
        <v>-1.047143208394874E-2</v>
      </c>
      <c r="R30" s="63"/>
      <c r="S30" s="76">
        <f>S21-$C$29</f>
        <v>-6.3723022172181842E-3</v>
      </c>
      <c r="T30" s="117"/>
      <c r="U30" s="139">
        <f>U21-$C$29</f>
        <v>4.3205154386774636E-2</v>
      </c>
      <c r="V30" s="63"/>
      <c r="W30" s="75">
        <f>W21-$C$29</f>
        <v>-1.0793634653615269E-2</v>
      </c>
      <c r="X30" s="63"/>
      <c r="Y30" s="76">
        <f>Y21-$C$29</f>
        <v>-7.5016817385082923E-3</v>
      </c>
      <c r="AA30" s="139"/>
    </row>
    <row r="31" spans="1:27" x14ac:dyDescent="0.3">
      <c r="A31" s="10" t="s">
        <v>119</v>
      </c>
      <c r="B31" s="117"/>
      <c r="C31" s="118">
        <f>C27*C24</f>
        <v>321.58520550734301</v>
      </c>
      <c r="D31" s="63"/>
      <c r="E31" s="63">
        <f>E27*E24</f>
        <v>2379.7011166231196</v>
      </c>
      <c r="F31" s="63"/>
      <c r="G31" s="63">
        <f>G27*G24</f>
        <v>2825.7670619199621</v>
      </c>
      <c r="H31" s="117"/>
      <c r="I31" s="118">
        <f>I27*I24</f>
        <v>335.1517361942764</v>
      </c>
      <c r="J31" s="63"/>
      <c r="K31" s="63">
        <f>K27*K24</f>
        <v>2378.5055470525581</v>
      </c>
      <c r="L31" s="63"/>
      <c r="M31" s="63">
        <f>M27*M24</f>
        <v>2822.9381854432258</v>
      </c>
      <c r="N31" s="117"/>
      <c r="O31" s="118">
        <f>O27*O24</f>
        <v>321.58520550734301</v>
      </c>
      <c r="P31" s="63"/>
      <c r="Q31" s="63">
        <f>Q27*Q24</f>
        <v>2388.5668525916099</v>
      </c>
      <c r="R31" s="63"/>
      <c r="S31" s="64">
        <f>S27*S24</f>
        <v>2849.6972718537286</v>
      </c>
      <c r="T31" s="117"/>
      <c r="U31" s="118">
        <f>U27*U24</f>
        <v>346.928639273572</v>
      </c>
      <c r="V31" s="63"/>
      <c r="W31" s="63">
        <f>W27*W24</f>
        <v>2390.9864684925142</v>
      </c>
      <c r="X31" s="63"/>
      <c r="Y31" s="64">
        <f>Y27*Y24</f>
        <v>2848.6547617405372</v>
      </c>
    </row>
    <row r="32" spans="1:27" x14ac:dyDescent="0.3">
      <c r="A32" t="s">
        <v>120</v>
      </c>
      <c r="B32" s="117"/>
      <c r="C32" s="139">
        <f>MOD(SUM(B31:S31)/SUM(B27:S27),360)</f>
        <v>96.403318931379019</v>
      </c>
      <c r="D32" s="63"/>
      <c r="E32" s="63"/>
      <c r="F32" s="63"/>
      <c r="G32" s="63"/>
      <c r="H32" s="117"/>
      <c r="I32" s="139">
        <f>MOD(SUM(H31:M31)/SUM(H27:M27),360)</f>
        <v>96.323801325615534</v>
      </c>
      <c r="J32" s="63"/>
      <c r="K32" s="63"/>
      <c r="L32" s="63"/>
      <c r="M32" s="63"/>
      <c r="N32" s="117"/>
      <c r="O32" s="139">
        <f>MOD(SUM(N31:S31)/SUM(N27:S27),360)</f>
        <v>96.728364079925655</v>
      </c>
      <c r="P32" s="63"/>
      <c r="Q32" s="63"/>
      <c r="R32" s="63"/>
      <c r="S32" s="64"/>
      <c r="T32" s="117"/>
      <c r="U32" s="139">
        <f>MOD(SUM(T31:Y31)/SUM(T27:Y27),360)</f>
        <v>97.193238921850153</v>
      </c>
      <c r="V32" s="63"/>
      <c r="W32" s="63"/>
      <c r="X32" s="63"/>
      <c r="Y32" s="64"/>
    </row>
    <row r="33" spans="1:27" x14ac:dyDescent="0.3">
      <c r="A33" t="s">
        <v>121</v>
      </c>
      <c r="B33" s="117"/>
      <c r="C33" s="139">
        <f>C24-$C$32</f>
        <v>-5.9933189313789939</v>
      </c>
      <c r="D33" s="63"/>
      <c r="E33" s="75">
        <f>E24-$C$32</f>
        <v>0.27340789868533477</v>
      </c>
      <c r="F33" s="63"/>
      <c r="G33" s="75">
        <f>G24-$C$32</f>
        <v>1.6221503428781148E-2</v>
      </c>
      <c r="H33" s="117"/>
      <c r="I33" s="139">
        <f>I24-$C$32</f>
        <v>-2.1792440970886418</v>
      </c>
      <c r="J33" s="63"/>
      <c r="K33" s="75">
        <f>K24-$C$32</f>
        <v>0.22483719710767502</v>
      </c>
      <c r="L33" s="63"/>
      <c r="M33" s="75">
        <f>M24-$C$32</f>
        <v>-8.0304135046318947E-2</v>
      </c>
      <c r="N33" s="117"/>
      <c r="O33" s="139">
        <f>O24-$C$32</f>
        <v>-5.9933189313789939</v>
      </c>
      <c r="P33" s="63"/>
      <c r="Q33" s="75">
        <f>Q24-$C$32</f>
        <v>0.63358352258445905</v>
      </c>
      <c r="R33" s="63"/>
      <c r="S33" s="76">
        <f>S24-$C$32</f>
        <v>0.83275725947744661</v>
      </c>
      <c r="T33" s="117"/>
      <c r="U33" s="139">
        <f>U24-$C$32</f>
        <v>1.1316974175228012</v>
      </c>
      <c r="V33" s="63"/>
      <c r="W33" s="75">
        <f>W24-$C$32</f>
        <v>0.73188181048767831</v>
      </c>
      <c r="X33" s="63"/>
      <c r="Y33" s="76">
        <f>Y24-$C$32</f>
        <v>0.79718520282524707</v>
      </c>
      <c r="AA33" s="139"/>
    </row>
    <row r="34" spans="1:27" s="14" customFormat="1" ht="75.75" customHeight="1" x14ac:dyDescent="0.3">
      <c r="A34" s="15" t="s">
        <v>40</v>
      </c>
      <c r="B34" s="383"/>
      <c r="C34" s="384"/>
      <c r="D34" s="65"/>
      <c r="E34" s="65"/>
      <c r="F34" s="65"/>
      <c r="G34" s="65"/>
      <c r="H34" s="383"/>
      <c r="I34" s="384"/>
      <c r="J34" s="65"/>
      <c r="K34" s="65"/>
      <c r="L34" s="65"/>
      <c r="M34" s="65"/>
      <c r="N34" s="383"/>
      <c r="O34" s="384"/>
      <c r="P34" s="65"/>
      <c r="Q34" s="65"/>
      <c r="R34" s="65"/>
      <c r="S34" s="66"/>
      <c r="T34" s="383"/>
      <c r="U34" s="384"/>
      <c r="V34" s="65"/>
      <c r="W34" s="65"/>
      <c r="X34" s="65"/>
      <c r="Y34" s="66"/>
      <c r="Z34" s="65"/>
      <c r="AA34" s="65"/>
    </row>
    <row r="35" spans="1:27" s="19" customFormat="1" x14ac:dyDescent="0.3">
      <c r="A35" s="20" t="s">
        <v>54</v>
      </c>
      <c r="B35" s="119"/>
      <c r="C35" s="120"/>
      <c r="D35" s="67"/>
      <c r="E35" s="67"/>
      <c r="F35" s="67"/>
      <c r="G35" s="67"/>
      <c r="H35" s="119"/>
      <c r="I35" s="120"/>
      <c r="J35" s="67"/>
      <c r="K35" s="67"/>
      <c r="L35" s="67"/>
      <c r="M35" s="67"/>
      <c r="N35" s="119"/>
      <c r="O35" s="120"/>
      <c r="P35" s="67"/>
      <c r="Q35" s="67"/>
      <c r="R35" s="67"/>
      <c r="S35" s="68"/>
      <c r="T35" s="119"/>
      <c r="U35" s="120"/>
      <c r="V35" s="67"/>
      <c r="W35" s="67"/>
      <c r="X35" s="67"/>
      <c r="Y35" s="68"/>
      <c r="Z35" s="67"/>
      <c r="AA35" s="67"/>
    </row>
    <row r="36" spans="1:27" x14ac:dyDescent="0.3">
      <c r="A36" s="7" t="s">
        <v>42</v>
      </c>
      <c r="B36" s="117"/>
      <c r="C36" s="147">
        <f>C8*$C29</f>
        <v>12.065489173795724</v>
      </c>
      <c r="D36" s="63"/>
      <c r="E36" s="63"/>
      <c r="F36" s="63"/>
      <c r="G36" s="63"/>
      <c r="H36" s="117"/>
      <c r="I36" s="147">
        <f>I8*$C29</f>
        <v>11.336504668732548</v>
      </c>
      <c r="J36" s="63"/>
      <c r="K36" s="63"/>
      <c r="L36" s="63"/>
      <c r="M36" s="63"/>
      <c r="N36" s="117"/>
      <c r="O36" s="147">
        <f>O8*$C29</f>
        <v>12.065489173795724</v>
      </c>
      <c r="P36" s="63"/>
      <c r="Q36" s="63"/>
      <c r="R36" s="63"/>
      <c r="S36" s="64"/>
      <c r="T36" s="117"/>
      <c r="U36" s="147">
        <f>U8*$C29</f>
        <v>12.159385447305853</v>
      </c>
      <c r="V36" s="63"/>
      <c r="W36" s="63"/>
      <c r="X36" s="63"/>
      <c r="Y36" s="64"/>
    </row>
    <row r="37" spans="1:27" x14ac:dyDescent="0.3">
      <c r="A37" t="s">
        <v>50</v>
      </c>
      <c r="B37" s="117"/>
      <c r="C37" s="141">
        <f>C36-C16</f>
        <v>-0.5865108262042753</v>
      </c>
      <c r="D37" s="63"/>
      <c r="E37" s="63"/>
      <c r="F37" s="63"/>
      <c r="G37" s="63"/>
      <c r="H37" s="117"/>
      <c r="I37" s="141">
        <f>I36-I16</f>
        <v>-1.3154953312674511</v>
      </c>
      <c r="J37" s="63"/>
      <c r="K37" s="63"/>
      <c r="L37" s="63"/>
      <c r="M37" s="63"/>
      <c r="N37" s="117"/>
      <c r="O37" s="141">
        <f>O36-O16</f>
        <v>-0.5865108262042753</v>
      </c>
      <c r="P37" s="63"/>
      <c r="Q37" s="63"/>
      <c r="R37" s="63"/>
      <c r="S37" s="64"/>
      <c r="T37" s="117"/>
      <c r="U37" s="141">
        <f>U36-U16</f>
        <v>-0.49261455269414611</v>
      </c>
      <c r="V37" s="63"/>
      <c r="W37" s="63"/>
      <c r="X37" s="63"/>
      <c r="Y37" s="64"/>
    </row>
    <row r="38" spans="1:27" x14ac:dyDescent="0.3">
      <c r="A38" t="s">
        <v>51</v>
      </c>
      <c r="B38" s="117"/>
      <c r="C38" s="142">
        <f>C37/C16</f>
        <v>-4.6357162994330965E-2</v>
      </c>
      <c r="D38" s="63"/>
      <c r="E38" s="63"/>
      <c r="F38" s="63"/>
      <c r="G38" s="63"/>
      <c r="H38" s="117"/>
      <c r="I38" s="142">
        <f>I37/I16</f>
        <v>-0.10397528701133822</v>
      </c>
      <c r="J38" s="63"/>
      <c r="K38" s="63"/>
      <c r="L38" s="63"/>
      <c r="M38" s="63"/>
      <c r="N38" s="117"/>
      <c r="O38" s="142">
        <f>O37/O16</f>
        <v>-4.6357162994330965E-2</v>
      </c>
      <c r="P38" s="63"/>
      <c r="Q38" s="63"/>
      <c r="R38" s="63"/>
      <c r="S38" s="64"/>
      <c r="T38" s="117"/>
      <c r="U38" s="142">
        <f>U37/U16</f>
        <v>-3.8935706030204409E-2</v>
      </c>
      <c r="V38" s="63"/>
      <c r="W38" s="63"/>
      <c r="X38" s="63"/>
      <c r="Y38" s="64"/>
    </row>
    <row r="39" spans="1:27" x14ac:dyDescent="0.3">
      <c r="A39" s="29" t="s">
        <v>53</v>
      </c>
      <c r="B39" s="117">
        <f>AVERAGE(B37:E37)</f>
        <v>-0.5865108262042753</v>
      </c>
      <c r="C39" s="142">
        <f>AVERAGE(C38:E38)</f>
        <v>-4.6357162994330965E-2</v>
      </c>
      <c r="D39" s="63"/>
      <c r="E39" s="63"/>
      <c r="F39" s="63"/>
      <c r="G39" s="63"/>
      <c r="H39" s="117">
        <f>AVERAGE(H37:K37)</f>
        <v>-1.3154953312674511</v>
      </c>
      <c r="I39" s="142">
        <f>AVERAGE(I38:K38)</f>
        <v>-0.10397528701133822</v>
      </c>
      <c r="J39" s="63"/>
      <c r="K39" s="63"/>
      <c r="L39" s="63"/>
      <c r="M39" s="63"/>
      <c r="N39" s="117">
        <f>AVERAGE(N37:Q37)</f>
        <v>-0.5865108262042753</v>
      </c>
      <c r="O39" s="142">
        <f>AVERAGE(O38:Q38)</f>
        <v>-4.6357162994330965E-2</v>
      </c>
      <c r="P39" s="63"/>
      <c r="Q39" s="63"/>
      <c r="R39" s="63"/>
      <c r="S39" s="64"/>
      <c r="T39" s="117">
        <f>AVERAGE(T37:W37)</f>
        <v>-0.49261455269414611</v>
      </c>
      <c r="U39" s="142">
        <f>AVERAGE(U38:W38)</f>
        <v>-3.8935706030204409E-2</v>
      </c>
      <c r="V39" s="63"/>
      <c r="W39" s="63"/>
      <c r="X39" s="63"/>
      <c r="Y39" s="64"/>
    </row>
    <row r="40" spans="1:27" x14ac:dyDescent="0.3">
      <c r="A40" s="29" t="s">
        <v>52</v>
      </c>
      <c r="B40" s="117" t="e">
        <f>STDEV(B37:G37)</f>
        <v>#DIV/0!</v>
      </c>
      <c r="C40" s="142" t="e">
        <f>STDEV(C38:G38)</f>
        <v>#DIV/0!</v>
      </c>
      <c r="D40" s="63"/>
      <c r="E40" s="63"/>
      <c r="F40" s="63"/>
      <c r="G40" s="63"/>
      <c r="H40" s="117" t="e">
        <f>STDEV(H37:M37)</f>
        <v>#DIV/0!</v>
      </c>
      <c r="I40" s="142" t="e">
        <f>STDEV(I38:M38)</f>
        <v>#DIV/0!</v>
      </c>
      <c r="J40" s="63"/>
      <c r="K40" s="63"/>
      <c r="L40" s="63"/>
      <c r="M40" s="63"/>
      <c r="N40" s="117" t="e">
        <f>STDEV(N37:S37)</f>
        <v>#DIV/0!</v>
      </c>
      <c r="O40" s="142" t="e">
        <f>STDEV(O38:S38)</f>
        <v>#DIV/0!</v>
      </c>
      <c r="P40" s="63"/>
      <c r="Q40" s="63"/>
      <c r="R40" s="63"/>
      <c r="S40" s="64"/>
      <c r="T40" s="117" t="e">
        <f>STDEV(T37:Y37)</f>
        <v>#DIV/0!</v>
      </c>
      <c r="U40" s="142" t="e">
        <f>STDEV(U38:Y38)</f>
        <v>#DIV/0!</v>
      </c>
      <c r="V40" s="63"/>
      <c r="W40" s="63"/>
      <c r="X40" s="63"/>
      <c r="Y40" s="64"/>
    </row>
    <row r="41" spans="1:27" x14ac:dyDescent="0.3">
      <c r="B41" s="117"/>
      <c r="C41" s="142"/>
      <c r="D41" s="63"/>
      <c r="E41" s="63"/>
      <c r="F41" s="63"/>
      <c r="G41" s="63"/>
      <c r="H41" s="117"/>
      <c r="I41" s="142"/>
      <c r="J41" s="63"/>
      <c r="K41" s="63"/>
      <c r="L41" s="63"/>
      <c r="M41" s="63"/>
      <c r="N41" s="117"/>
      <c r="O41" s="142"/>
      <c r="P41" s="63"/>
      <c r="Q41" s="63"/>
      <c r="R41" s="63"/>
      <c r="S41" s="64"/>
      <c r="T41" s="117"/>
      <c r="U41" s="142"/>
      <c r="V41" s="63"/>
      <c r="W41" s="63"/>
      <c r="X41" s="63"/>
      <c r="Y41" s="64"/>
    </row>
    <row r="42" spans="1:27" x14ac:dyDescent="0.3">
      <c r="A42" s="7" t="s">
        <v>43</v>
      </c>
      <c r="B42" s="117"/>
      <c r="C42" s="141">
        <f>MOD(C9-$C32,360)</f>
        <v>308.59668106862097</v>
      </c>
      <c r="D42" s="63"/>
      <c r="E42" s="141"/>
      <c r="F42" s="63"/>
      <c r="G42" s="141"/>
      <c r="H42" s="117"/>
      <c r="I42" s="141">
        <f>MOD(I9-$C32,360)</f>
        <v>312.41075590291132</v>
      </c>
      <c r="J42" s="63"/>
      <c r="K42" s="141"/>
      <c r="L42" s="63"/>
      <c r="M42" s="141"/>
      <c r="N42" s="117"/>
      <c r="O42" s="141">
        <f>MOD(O9-$C32,360)</f>
        <v>308.59668106862097</v>
      </c>
      <c r="P42" s="63"/>
      <c r="Q42" s="141"/>
      <c r="R42" s="63"/>
      <c r="S42" s="143"/>
      <c r="T42" s="117"/>
      <c r="U42" s="141">
        <f>MOD(U9-$C32,360)</f>
        <v>315.72169741752276</v>
      </c>
      <c r="V42" s="63"/>
      <c r="W42" s="141"/>
      <c r="X42" s="63"/>
      <c r="Y42" s="143"/>
      <c r="AA42" s="141"/>
    </row>
    <row r="43" spans="1:27" x14ac:dyDescent="0.3">
      <c r="A43" t="s">
        <v>55</v>
      </c>
      <c r="B43" s="117"/>
      <c r="C43" s="141">
        <f>C42-C17</f>
        <v>-5.9933189313790081</v>
      </c>
      <c r="D43" s="63"/>
      <c r="E43" s="141"/>
      <c r="F43" s="63"/>
      <c r="G43" s="141"/>
      <c r="H43" s="117"/>
      <c r="I43" s="141">
        <f>I42-I17</f>
        <v>-2.179244097088656</v>
      </c>
      <c r="J43" s="63"/>
      <c r="K43" s="141"/>
      <c r="L43" s="63"/>
      <c r="M43" s="141"/>
      <c r="N43" s="117"/>
      <c r="O43" s="141">
        <f>O42-O17</f>
        <v>-5.9933189313790081</v>
      </c>
      <c r="P43" s="63"/>
      <c r="Q43" s="141"/>
      <c r="R43" s="63"/>
      <c r="S43" s="143"/>
      <c r="T43" s="117"/>
      <c r="U43" s="141">
        <f>U42-U17</f>
        <v>1.131697417522787</v>
      </c>
      <c r="V43" s="63"/>
      <c r="W43" s="141"/>
      <c r="X43" s="63"/>
      <c r="Y43" s="143"/>
      <c r="AA43" s="141"/>
    </row>
    <row r="44" spans="1:27" x14ac:dyDescent="0.3">
      <c r="A44" t="s">
        <v>56</v>
      </c>
      <c r="B44" s="117">
        <f>AVERAGE(B43:G43)</f>
        <v>-5.9933189313790081</v>
      </c>
      <c r="C44" s="141"/>
      <c r="D44" s="63"/>
      <c r="E44" s="101"/>
      <c r="F44" s="63"/>
      <c r="G44" s="101"/>
      <c r="H44" s="117">
        <f>AVERAGE(H43:M43)</f>
        <v>-2.179244097088656</v>
      </c>
      <c r="I44" s="141"/>
      <c r="J44" s="63"/>
      <c r="K44" s="101"/>
      <c r="L44" s="63"/>
      <c r="M44" s="101"/>
      <c r="N44" s="117">
        <f>AVERAGE(N43:S43)</f>
        <v>-5.9933189313790081</v>
      </c>
      <c r="O44" s="141"/>
      <c r="P44" s="63"/>
      <c r="Q44" s="101"/>
      <c r="R44" s="63"/>
      <c r="S44" s="102"/>
      <c r="T44" s="117">
        <f>AVERAGE(T43:Y43)</f>
        <v>1.131697417522787</v>
      </c>
      <c r="U44" s="141"/>
      <c r="V44" s="63"/>
      <c r="W44" s="101"/>
      <c r="X44" s="63"/>
      <c r="Y44" s="102"/>
      <c r="AA44" s="101"/>
    </row>
    <row r="45" spans="1:27" x14ac:dyDescent="0.3">
      <c r="A45" t="s">
        <v>57</v>
      </c>
      <c r="B45" s="117" t="e">
        <f>STDEV(B43:G43)</f>
        <v>#DIV/0!</v>
      </c>
      <c r="C45" s="141"/>
      <c r="D45" s="63"/>
      <c r="E45" s="63"/>
      <c r="F45" s="63"/>
      <c r="G45" s="63"/>
      <c r="H45" s="117" t="e">
        <f>STDEV(H43:M43)</f>
        <v>#DIV/0!</v>
      </c>
      <c r="I45" s="141"/>
      <c r="J45" s="63"/>
      <c r="K45" s="63"/>
      <c r="L45" s="63"/>
      <c r="M45" s="63"/>
      <c r="N45" s="117" t="e">
        <f>STDEV(N43:S43)</f>
        <v>#DIV/0!</v>
      </c>
      <c r="O45" s="141"/>
      <c r="P45" s="63"/>
      <c r="Q45" s="63"/>
      <c r="R45" s="63"/>
      <c r="S45" s="64"/>
      <c r="T45" s="117" t="e">
        <f>STDEV(T43:Y43)</f>
        <v>#DIV/0!</v>
      </c>
      <c r="U45" s="141"/>
      <c r="V45" s="63"/>
      <c r="W45" s="63"/>
      <c r="X45" s="63"/>
      <c r="Y45" s="64"/>
    </row>
    <row r="46" spans="1:27" x14ac:dyDescent="0.3">
      <c r="B46" s="117"/>
      <c r="C46" s="141"/>
      <c r="D46" s="63"/>
      <c r="E46" s="63"/>
      <c r="F46" s="63"/>
      <c r="G46" s="63"/>
      <c r="H46" s="117"/>
      <c r="I46" s="141"/>
      <c r="J46" s="63"/>
      <c r="K46" s="63"/>
      <c r="L46" s="63"/>
      <c r="M46" s="63"/>
      <c r="N46" s="117"/>
      <c r="O46" s="141"/>
      <c r="P46" s="63"/>
      <c r="Q46" s="63"/>
      <c r="R46" s="63"/>
      <c r="S46" s="64"/>
      <c r="T46" s="117"/>
      <c r="U46" s="141"/>
      <c r="V46" s="63"/>
      <c r="W46" s="63"/>
      <c r="X46" s="63"/>
      <c r="Y46" s="64"/>
    </row>
    <row r="47" spans="1:27" x14ac:dyDescent="0.3">
      <c r="A47" t="s">
        <v>44</v>
      </c>
      <c r="B47" s="71">
        <f>-C36*SIN((C42)/180*PI())</f>
        <v>9.429862818255625</v>
      </c>
      <c r="C47" s="72">
        <f>C36*COS((C42)/180*PI())</f>
        <v>7.5268662956015033</v>
      </c>
      <c r="D47" s="63"/>
      <c r="E47" s="63"/>
      <c r="F47" s="63"/>
      <c r="G47" s="63"/>
      <c r="H47" s="71">
        <f>-I36*SIN((I42)/180*PI())</f>
        <v>8.3700672486395575</v>
      </c>
      <c r="I47" s="72">
        <f>I36*COS((I42)/180*PI())</f>
        <v>7.6458035782673797</v>
      </c>
      <c r="J47" s="63"/>
      <c r="K47" s="63"/>
      <c r="L47" s="63"/>
      <c r="M47" s="63"/>
      <c r="N47" s="71">
        <f>-O36*SIN((O42)/180*PI())</f>
        <v>9.429862818255625</v>
      </c>
      <c r="O47" s="72">
        <f>O36*COS((O42)/180*PI())</f>
        <v>7.5268662956015033</v>
      </c>
      <c r="P47" s="63"/>
      <c r="Q47" s="63"/>
      <c r="R47" s="63"/>
      <c r="S47" s="64"/>
      <c r="T47" s="71">
        <f>-U36*SIN((U42)/180*PI())</f>
        <v>8.4890045313054348</v>
      </c>
      <c r="U47" s="72">
        <f>U36*COS((U42)/180*PI())</f>
        <v>8.705599147883456</v>
      </c>
      <c r="V47" s="63"/>
      <c r="W47" s="63"/>
      <c r="X47" s="63"/>
      <c r="Y47" s="64"/>
    </row>
    <row r="48" spans="1:27" s="10" customFormat="1" x14ac:dyDescent="0.3">
      <c r="A48" t="s">
        <v>45</v>
      </c>
      <c r="B48" s="71">
        <f>B47-B18</f>
        <v>0.41975893384346463</v>
      </c>
      <c r="C48" s="72">
        <f>C47-C18</f>
        <v>-1.3552017063956034</v>
      </c>
      <c r="D48" s="63"/>
      <c r="E48" s="63"/>
      <c r="F48" s="63"/>
      <c r="G48" s="63"/>
      <c r="H48" s="71">
        <f>H47-H18</f>
        <v>-0.64003663577260284</v>
      </c>
      <c r="I48" s="72">
        <f>I47-I18</f>
        <v>-1.2362644237297271</v>
      </c>
      <c r="J48" s="63"/>
      <c r="K48" s="63"/>
      <c r="L48" s="63"/>
      <c r="M48" s="63"/>
      <c r="N48" s="71">
        <f>N47-N18</f>
        <v>0.41975893384346463</v>
      </c>
      <c r="O48" s="72">
        <f>O47-O18</f>
        <v>-1.3552017063956034</v>
      </c>
      <c r="P48" s="63"/>
      <c r="Q48" s="63"/>
      <c r="R48" s="63"/>
      <c r="S48" s="64"/>
      <c r="T48" s="71">
        <f>T47-T18</f>
        <v>-0.52109935310672562</v>
      </c>
      <c r="U48" s="72">
        <f>U47-U18</f>
        <v>-0.17646885411365076</v>
      </c>
      <c r="V48" s="63"/>
      <c r="W48" s="63"/>
      <c r="X48" s="63"/>
      <c r="Y48" s="64"/>
      <c r="Z48" s="63"/>
      <c r="AA48" s="63"/>
    </row>
    <row r="49" spans="1:27" x14ac:dyDescent="0.3">
      <c r="A49" t="s">
        <v>46</v>
      </c>
      <c r="B49" s="117">
        <f>B48^2</f>
        <v>0.17619756254140212</v>
      </c>
      <c r="C49" s="118">
        <f>C48^2</f>
        <v>1.8365716650175554</v>
      </c>
      <c r="D49" s="63"/>
      <c r="E49" s="63"/>
      <c r="F49" s="63"/>
      <c r="G49" s="63"/>
      <c r="H49" s="117">
        <f>H48^2</f>
        <v>0.40964689513111147</v>
      </c>
      <c r="I49" s="118">
        <f>I48^2</f>
        <v>1.5283497253797942</v>
      </c>
      <c r="J49" s="63"/>
      <c r="K49" s="63"/>
      <c r="L49" s="63"/>
      <c r="M49" s="63"/>
      <c r="N49" s="117">
        <f>N48^2</f>
        <v>0.17619756254140212</v>
      </c>
      <c r="O49" s="118">
        <f>O48^2</f>
        <v>1.8365716650175554</v>
      </c>
      <c r="P49" s="63"/>
      <c r="Q49" s="63"/>
      <c r="R49" s="63"/>
      <c r="S49" s="64"/>
      <c r="T49" s="117">
        <f>T48^2</f>
        <v>0.27154453580824789</v>
      </c>
      <c r="U49" s="118">
        <f>U48^2</f>
        <v>3.1141256472184957E-2</v>
      </c>
      <c r="V49" s="63"/>
      <c r="W49" s="63"/>
      <c r="X49" s="63"/>
      <c r="Y49" s="64"/>
    </row>
    <row r="50" spans="1:27" s="10" customFormat="1" x14ac:dyDescent="0.3">
      <c r="A50" t="s">
        <v>47</v>
      </c>
      <c r="B50" s="71"/>
      <c r="C50" s="72">
        <f>SQRT(B49+C49)</f>
        <v>1.4187209829839542</v>
      </c>
      <c r="D50" s="63"/>
      <c r="E50" s="63"/>
      <c r="F50" s="63"/>
      <c r="G50" s="63"/>
      <c r="H50" s="71"/>
      <c r="I50" s="72">
        <f>SQRT(H49+I49)</f>
        <v>1.3921194706313484</v>
      </c>
      <c r="J50" s="63"/>
      <c r="K50" s="63"/>
      <c r="L50" s="63"/>
      <c r="M50" s="63"/>
      <c r="N50" s="71"/>
      <c r="O50" s="72">
        <f>SQRT(N49+O49)</f>
        <v>1.4187209829839542</v>
      </c>
      <c r="P50" s="63"/>
      <c r="Q50" s="63"/>
      <c r="R50" s="63"/>
      <c r="S50" s="64"/>
      <c r="T50" s="71"/>
      <c r="U50" s="72">
        <f>SQRT(T49+U49)</f>
        <v>0.55016887614661814</v>
      </c>
      <c r="V50" s="63"/>
      <c r="W50" s="63"/>
      <c r="X50" s="63"/>
      <c r="Y50" s="64"/>
      <c r="Z50" s="63"/>
      <c r="AA50" s="63"/>
    </row>
    <row r="51" spans="1:27" s="10" customFormat="1" x14ac:dyDescent="0.3">
      <c r="A51" t="s">
        <v>48</v>
      </c>
      <c r="B51" s="71"/>
      <c r="C51" s="77">
        <f>C50/C36</f>
        <v>0.11758503634193175</v>
      </c>
      <c r="D51" s="63"/>
      <c r="E51" s="63"/>
      <c r="F51" s="63"/>
      <c r="G51" s="63"/>
      <c r="H51" s="71"/>
      <c r="I51" s="77">
        <f>I50/I36</f>
        <v>0.12279970866778563</v>
      </c>
      <c r="J51" s="63"/>
      <c r="K51" s="63"/>
      <c r="L51" s="63"/>
      <c r="M51" s="63"/>
      <c r="N51" s="71"/>
      <c r="O51" s="77">
        <f>O50/O36</f>
        <v>0.11758503634193175</v>
      </c>
      <c r="P51" s="63"/>
      <c r="Q51" s="63"/>
      <c r="R51" s="63"/>
      <c r="S51" s="64"/>
      <c r="T51" s="71"/>
      <c r="U51" s="77">
        <f>U50/U36</f>
        <v>4.5246437702862581E-2</v>
      </c>
      <c r="V51" s="63"/>
      <c r="W51" s="63"/>
      <c r="X51" s="63"/>
      <c r="Y51" s="64"/>
      <c r="Z51" s="63"/>
      <c r="AA51" s="63"/>
    </row>
    <row r="52" spans="1:27" s="10" customFormat="1" x14ac:dyDescent="0.3">
      <c r="A52"/>
      <c r="B52" s="71"/>
      <c r="C52" s="144"/>
      <c r="D52" s="63"/>
      <c r="E52" s="63"/>
      <c r="F52" s="63"/>
      <c r="G52" s="63"/>
      <c r="H52" s="71"/>
      <c r="I52" s="144"/>
      <c r="J52" s="63"/>
      <c r="K52" s="63"/>
      <c r="L52" s="63"/>
      <c r="M52" s="63"/>
      <c r="N52" s="71"/>
      <c r="O52" s="144"/>
      <c r="P52" s="63"/>
      <c r="Q52" s="63"/>
      <c r="R52" s="63"/>
      <c r="S52" s="64"/>
      <c r="T52" s="71"/>
      <c r="U52" s="144"/>
      <c r="V52" s="63"/>
      <c r="W52" s="63"/>
      <c r="X52" s="63"/>
      <c r="Y52" s="64"/>
      <c r="Z52" s="63"/>
      <c r="AA52" s="63"/>
    </row>
    <row r="53" spans="1:27" s="10" customFormat="1" x14ac:dyDescent="0.3">
      <c r="A53" t="s">
        <v>89</v>
      </c>
      <c r="B53" s="71">
        <f>MEDIAN(B50:Y50)</f>
        <v>1.4054202268076512</v>
      </c>
      <c r="C53" s="144"/>
      <c r="D53" s="63"/>
      <c r="E53" s="63"/>
      <c r="F53" s="63"/>
      <c r="G53" s="63"/>
      <c r="H53" s="71"/>
      <c r="I53" s="144"/>
      <c r="J53" s="63"/>
      <c r="K53" s="63"/>
      <c r="L53" s="63"/>
      <c r="M53" s="63"/>
      <c r="N53" s="71"/>
      <c r="O53" s="144"/>
      <c r="P53" s="63"/>
      <c r="Q53" s="63"/>
      <c r="R53" s="63"/>
      <c r="S53" s="64"/>
      <c r="T53" s="71"/>
      <c r="U53" s="144"/>
      <c r="V53" s="63"/>
      <c r="W53" s="63"/>
      <c r="X53" s="63"/>
      <c r="Y53" s="64"/>
      <c r="Z53" s="63"/>
      <c r="AA53" s="63"/>
    </row>
    <row r="54" spans="1:27" s="10" customFormat="1" x14ac:dyDescent="0.3">
      <c r="A54" t="s">
        <v>81</v>
      </c>
      <c r="B54" s="71">
        <f>AVERAGE(B50:Y50)</f>
        <v>1.1949325781864686</v>
      </c>
      <c r="C54" s="144"/>
      <c r="D54" s="63"/>
      <c r="E54" s="63"/>
      <c r="F54" s="63"/>
      <c r="G54" s="63"/>
      <c r="H54" s="71"/>
      <c r="I54" s="144"/>
      <c r="J54" s="63"/>
      <c r="K54" s="63"/>
      <c r="L54" s="63"/>
      <c r="M54" s="63"/>
      <c r="N54" s="71"/>
      <c r="O54" s="144"/>
      <c r="P54" s="63"/>
      <c r="Q54" s="63"/>
      <c r="R54" s="63"/>
      <c r="S54" s="64"/>
      <c r="T54" s="71"/>
      <c r="U54" s="144"/>
      <c r="V54" s="63"/>
      <c r="W54" s="63"/>
      <c r="X54" s="63"/>
      <c r="Y54" s="64"/>
      <c r="Z54" s="63"/>
      <c r="AA54" s="63"/>
    </row>
    <row r="55" spans="1:27" s="10" customFormat="1" x14ac:dyDescent="0.3">
      <c r="A55" t="s">
        <v>82</v>
      </c>
      <c r="B55" s="71">
        <f>STDEV(B50:Y50)</f>
        <v>0.43002534896748063</v>
      </c>
      <c r="C55" s="144"/>
      <c r="D55" s="63"/>
      <c r="E55" s="63"/>
      <c r="F55" s="63"/>
      <c r="G55" s="63"/>
      <c r="H55" s="71"/>
      <c r="I55" s="144"/>
      <c r="J55" s="63"/>
      <c r="K55" s="63"/>
      <c r="L55" s="63"/>
      <c r="M55" s="63"/>
      <c r="N55" s="71"/>
      <c r="O55" s="144"/>
      <c r="P55" s="63"/>
      <c r="Q55" s="63"/>
      <c r="R55" s="63"/>
      <c r="S55" s="64"/>
      <c r="T55" s="71"/>
      <c r="U55" s="144"/>
      <c r="V55" s="63"/>
      <c r="W55" s="63"/>
      <c r="X55" s="63"/>
      <c r="Y55" s="64"/>
      <c r="Z55" s="63"/>
      <c r="AA55" s="63"/>
    </row>
    <row r="56" spans="1:27" s="10" customFormat="1" x14ac:dyDescent="0.3">
      <c r="A56" t="s">
        <v>83</v>
      </c>
      <c r="B56" s="71"/>
      <c r="C56" s="144"/>
      <c r="D56" s="63"/>
      <c r="E56" s="63"/>
      <c r="F56" s="63"/>
      <c r="G56" s="63"/>
      <c r="H56" s="71"/>
      <c r="I56" s="144"/>
      <c r="J56" s="63"/>
      <c r="K56" s="63"/>
      <c r="L56" s="63"/>
      <c r="M56" s="63"/>
      <c r="N56" s="71"/>
      <c r="O56" s="144"/>
      <c r="P56" s="63"/>
      <c r="Q56" s="63"/>
      <c r="R56" s="63"/>
      <c r="S56" s="64"/>
      <c r="T56" s="71"/>
      <c r="U56" s="144"/>
      <c r="V56" s="63"/>
      <c r="W56" s="63"/>
      <c r="X56" s="63"/>
      <c r="Y56" s="64"/>
      <c r="Z56" s="63"/>
      <c r="AA56" s="63"/>
    </row>
    <row r="57" spans="1:27" s="10" customFormat="1" x14ac:dyDescent="0.3">
      <c r="A57"/>
      <c r="B57" s="71"/>
      <c r="C57" s="72"/>
      <c r="D57" s="63"/>
      <c r="E57" s="63"/>
      <c r="F57" s="63"/>
      <c r="G57" s="63"/>
      <c r="H57" s="71"/>
      <c r="I57" s="72"/>
      <c r="J57" s="63"/>
      <c r="K57" s="63"/>
      <c r="L57" s="63"/>
      <c r="M57" s="63"/>
      <c r="N57" s="71"/>
      <c r="O57" s="72"/>
      <c r="P57" s="63"/>
      <c r="Q57" s="63"/>
      <c r="R57" s="63"/>
      <c r="S57" s="64"/>
      <c r="T57" s="71"/>
      <c r="U57" s="72"/>
      <c r="V57" s="63"/>
      <c r="W57" s="63"/>
      <c r="X57" s="63"/>
      <c r="Y57" s="64"/>
      <c r="Z57" s="63"/>
      <c r="AA57" s="63"/>
    </row>
    <row r="58" spans="1:27" s="10" customFormat="1" x14ac:dyDescent="0.3">
      <c r="B58" s="145"/>
      <c r="C58" s="139"/>
      <c r="D58" s="63"/>
      <c r="E58" s="63"/>
      <c r="F58" s="63"/>
      <c r="G58" s="63"/>
      <c r="H58" s="145"/>
      <c r="I58" s="139"/>
      <c r="J58" s="63"/>
      <c r="K58" s="63"/>
      <c r="L58" s="63"/>
      <c r="M58" s="63"/>
      <c r="N58" s="145"/>
      <c r="O58" s="139"/>
      <c r="P58" s="63"/>
      <c r="Q58" s="63"/>
      <c r="R58" s="63"/>
      <c r="S58" s="64"/>
      <c r="T58" s="145"/>
      <c r="U58" s="139"/>
      <c r="V58" s="63"/>
      <c r="W58" s="63"/>
      <c r="X58" s="63"/>
      <c r="Y58" s="64"/>
      <c r="Z58" s="63"/>
      <c r="AA58" s="63"/>
    </row>
    <row r="59" spans="1:27" x14ac:dyDescent="0.3">
      <c r="A59" s="7" t="s">
        <v>115</v>
      </c>
      <c r="B59" s="146">
        <f>AVERAGE(B36:Y36)</f>
        <v>11.906717115907462</v>
      </c>
      <c r="C59" s="118"/>
      <c r="D59" s="63"/>
      <c r="E59" s="63"/>
      <c r="F59" s="63"/>
      <c r="G59" s="63"/>
      <c r="H59" s="146"/>
      <c r="I59" s="118"/>
      <c r="J59" s="63"/>
      <c r="K59" s="63"/>
      <c r="L59" s="63"/>
      <c r="M59" s="63"/>
      <c r="N59" s="146"/>
      <c r="O59" s="118"/>
      <c r="P59" s="63"/>
      <c r="Q59" s="63"/>
      <c r="R59" s="63"/>
      <c r="S59" s="64"/>
      <c r="T59" s="146"/>
      <c r="U59" s="118"/>
      <c r="V59" s="63"/>
      <c r="W59" s="63"/>
      <c r="X59" s="63"/>
      <c r="Y59" s="64"/>
    </row>
    <row r="60" spans="1:27" x14ac:dyDescent="0.3">
      <c r="A60" s="10" t="s">
        <v>116</v>
      </c>
      <c r="B60" s="146">
        <f>STDEV(B36:Y36)</f>
        <v>0.38270992206325943</v>
      </c>
      <c r="C60" s="118"/>
      <c r="D60" s="63"/>
      <c r="E60" s="63"/>
      <c r="F60" s="63"/>
      <c r="G60" s="63"/>
      <c r="H60" s="146"/>
      <c r="I60" s="118"/>
      <c r="J60" s="63"/>
      <c r="K60" s="63"/>
      <c r="L60" s="63"/>
      <c r="M60" s="63"/>
      <c r="N60" s="146"/>
      <c r="O60" s="118"/>
      <c r="P60" s="63"/>
      <c r="Q60" s="63"/>
      <c r="R60" s="63"/>
      <c r="S60" s="64"/>
      <c r="T60" s="146"/>
      <c r="U60" s="118"/>
      <c r="V60" s="63"/>
      <c r="W60" s="63"/>
      <c r="X60" s="63"/>
      <c r="Y60" s="64"/>
    </row>
    <row r="61" spans="1:27" x14ac:dyDescent="0.3">
      <c r="A61" s="10" t="s">
        <v>117</v>
      </c>
      <c r="B61" s="146">
        <f>AVERAGE(B42:Y42)</f>
        <v>311.33145386441902</v>
      </c>
      <c r="C61" s="118"/>
      <c r="D61" s="63"/>
      <c r="E61" s="63"/>
      <c r="F61" s="63"/>
      <c r="G61" s="63"/>
      <c r="H61" s="146"/>
      <c r="I61" s="118"/>
      <c r="J61" s="63"/>
      <c r="K61" s="63"/>
      <c r="L61" s="63"/>
      <c r="M61" s="63"/>
      <c r="N61" s="146"/>
      <c r="O61" s="118"/>
      <c r="P61" s="63"/>
      <c r="Q61" s="63"/>
      <c r="R61" s="63"/>
      <c r="S61" s="64"/>
      <c r="T61" s="146"/>
      <c r="U61" s="118"/>
      <c r="V61" s="63"/>
      <c r="W61" s="63"/>
      <c r="X61" s="63"/>
      <c r="Y61" s="64"/>
    </row>
    <row r="62" spans="1:27" ht="15" thickBot="1" x14ac:dyDescent="0.35">
      <c r="A62" s="10" t="s">
        <v>118</v>
      </c>
      <c r="B62" s="148">
        <f>STDEV(B42:Y42)</f>
        <v>3.4349718987272078</v>
      </c>
      <c r="C62" s="149"/>
      <c r="D62" s="78"/>
      <c r="E62" s="78"/>
      <c r="F62" s="78"/>
      <c r="G62" s="78"/>
      <c r="H62" s="148"/>
      <c r="I62" s="149"/>
      <c r="J62" s="78"/>
      <c r="K62" s="78"/>
      <c r="L62" s="78"/>
      <c r="M62" s="78"/>
      <c r="N62" s="148"/>
      <c r="O62" s="149"/>
      <c r="P62" s="78"/>
      <c r="Q62" s="78"/>
      <c r="R62" s="78"/>
      <c r="S62" s="79"/>
      <c r="T62" s="148"/>
      <c r="U62" s="149"/>
      <c r="V62" s="78"/>
      <c r="W62" s="78"/>
      <c r="X62" s="78"/>
      <c r="Y62" s="79"/>
    </row>
    <row r="65" spans="8:21" x14ac:dyDescent="0.3">
      <c r="H65" s="117">
        <v>238</v>
      </c>
      <c r="I65" s="118">
        <v>880</v>
      </c>
      <c r="M65" s="63"/>
      <c r="N65" s="118"/>
      <c r="O65" s="118"/>
      <c r="T65" s="118"/>
      <c r="U65" s="118"/>
    </row>
    <row r="66" spans="8:21" x14ac:dyDescent="0.3">
      <c r="H66" s="117">
        <v>245</v>
      </c>
      <c r="I66" s="118">
        <v>872</v>
      </c>
      <c r="M66" s="63"/>
      <c r="N66" s="118"/>
      <c r="O66" s="118"/>
      <c r="T66" s="118"/>
      <c r="U66" s="118"/>
    </row>
  </sheetData>
  <mergeCells count="21">
    <mergeCell ref="D10:E10"/>
    <mergeCell ref="B10:C10"/>
    <mergeCell ref="T34:U34"/>
    <mergeCell ref="L10:M10"/>
    <mergeCell ref="H19:I19"/>
    <mergeCell ref="T19:U19"/>
    <mergeCell ref="J10:K10"/>
    <mergeCell ref="N34:O34"/>
    <mergeCell ref="H34:I34"/>
    <mergeCell ref="N10:O10"/>
    <mergeCell ref="F10:G10"/>
    <mergeCell ref="B19:C19"/>
    <mergeCell ref="N19:O19"/>
    <mergeCell ref="H10:I10"/>
    <mergeCell ref="B34:C34"/>
    <mergeCell ref="Z10:AA10"/>
    <mergeCell ref="T10:U10"/>
    <mergeCell ref="V10:W10"/>
    <mergeCell ref="X10:Y10"/>
    <mergeCell ref="P10:Q10"/>
    <mergeCell ref="R10:S10"/>
  </mergeCells>
  <phoneticPr fontId="10"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63"/>
  <sheetViews>
    <sheetView zoomScale="85" zoomScaleNormal="85" workbookViewId="0">
      <pane xSplit="1" ySplit="2" topLeftCell="G15" activePane="bottomRight" state="frozenSplit"/>
      <selection pane="topRight"/>
      <selection pane="bottomLeft" activeCell="A3" sqref="A3"/>
      <selection pane="bottomRight" activeCell="S42" sqref="S42"/>
    </sheetView>
  </sheetViews>
  <sheetFormatPr defaultColWidth="9.109375" defaultRowHeight="14.4" x14ac:dyDescent="0.3"/>
  <cols>
    <col min="1" max="1" width="28" style="118" customWidth="1"/>
    <col min="2" max="5" width="11.6640625" style="118" customWidth="1"/>
    <col min="6" max="7" width="9.109375" style="63" customWidth="1"/>
    <col min="8" max="9" width="11.6640625" style="118" customWidth="1"/>
    <col min="10" max="11" width="9.109375" style="63" customWidth="1"/>
    <col min="12" max="13" width="11.6640625" style="118" customWidth="1"/>
    <col min="14" max="15" width="11.6640625" style="266" customWidth="1"/>
    <col min="16" max="19" width="9.109375" style="63" customWidth="1"/>
    <col min="20" max="21" width="11.6640625" style="118" customWidth="1"/>
    <col min="22" max="23" width="9.109375" style="63" customWidth="1"/>
    <col min="24" max="16384" width="9.109375" style="118"/>
  </cols>
  <sheetData>
    <row r="1" spans="1:77" s="127" customFormat="1" x14ac:dyDescent="0.3">
      <c r="A1" s="120" t="s">
        <v>39</v>
      </c>
      <c r="B1" s="120"/>
      <c r="C1" s="120"/>
      <c r="D1" s="120"/>
      <c r="E1" s="120"/>
      <c r="F1" s="67"/>
      <c r="G1" s="67"/>
      <c r="H1" s="120"/>
      <c r="I1" s="120"/>
      <c r="J1" s="67"/>
      <c r="K1" s="67"/>
      <c r="L1" s="120"/>
      <c r="M1" s="120"/>
      <c r="N1" s="264"/>
      <c r="O1" s="264"/>
      <c r="P1" s="67"/>
      <c r="Q1" s="67"/>
      <c r="R1" s="67"/>
      <c r="S1" s="67"/>
      <c r="T1" s="120"/>
      <c r="U1" s="120"/>
      <c r="V1" s="67"/>
      <c r="W1" s="67"/>
    </row>
    <row r="2" spans="1:77" s="249" customFormat="1" x14ac:dyDescent="0.3">
      <c r="B2" s="116"/>
      <c r="C2" s="116" t="s">
        <v>343</v>
      </c>
      <c r="D2" s="116"/>
      <c r="E2" s="116" t="s">
        <v>344</v>
      </c>
      <c r="F2" s="61"/>
      <c r="G2" s="61" t="s">
        <v>342</v>
      </c>
      <c r="H2" s="116"/>
      <c r="I2" s="116" t="s">
        <v>339</v>
      </c>
      <c r="J2" s="61"/>
      <c r="K2" s="61" t="s">
        <v>340</v>
      </c>
      <c r="L2" s="116"/>
      <c r="M2" s="116" t="s">
        <v>341</v>
      </c>
      <c r="N2" s="265"/>
      <c r="O2" s="265" t="s">
        <v>345</v>
      </c>
      <c r="P2" s="61"/>
      <c r="Q2" s="116" t="s">
        <v>347</v>
      </c>
      <c r="R2" s="61"/>
      <c r="S2" s="116" t="s">
        <v>348</v>
      </c>
      <c r="T2" s="116"/>
      <c r="U2" s="61" t="s">
        <v>349</v>
      </c>
      <c r="V2" s="61"/>
      <c r="W2" s="116"/>
      <c r="X2" s="116"/>
      <c r="Y2" s="61"/>
      <c r="Z2" s="61"/>
      <c r="AA2" s="116"/>
      <c r="AB2" s="116"/>
      <c r="AC2" s="61"/>
      <c r="AD2" s="61"/>
      <c r="AE2" s="116"/>
      <c r="AF2" s="116"/>
      <c r="AG2" s="61"/>
      <c r="AH2" s="61"/>
      <c r="AI2" s="116"/>
      <c r="AJ2" s="116"/>
      <c r="AK2" s="61"/>
      <c r="AL2" s="61"/>
      <c r="AM2" s="116"/>
      <c r="AN2" s="116"/>
      <c r="AO2" s="61"/>
      <c r="AP2" s="83"/>
      <c r="AQ2" s="256"/>
      <c r="AR2" s="256"/>
      <c r="AS2" s="256"/>
      <c r="AT2" s="253"/>
      <c r="AU2" s="257"/>
      <c r="AV2" s="83"/>
      <c r="AW2" s="256"/>
      <c r="AX2" s="116"/>
      <c r="AY2" s="61"/>
      <c r="AZ2" s="61"/>
      <c r="BA2" s="116"/>
      <c r="BB2" s="116"/>
      <c r="BC2" s="61"/>
      <c r="BD2" s="61"/>
      <c r="BE2" s="116"/>
      <c r="BF2" s="116"/>
      <c r="BG2" s="61"/>
      <c r="BH2" s="61"/>
      <c r="BI2" s="116"/>
      <c r="BJ2" s="116"/>
      <c r="BK2" s="61"/>
      <c r="BL2" s="61"/>
      <c r="BM2" s="116"/>
      <c r="BN2" s="61"/>
      <c r="BO2" s="116"/>
      <c r="BP2" s="116"/>
      <c r="BQ2" s="61"/>
      <c r="BR2" s="61"/>
      <c r="BS2" s="116"/>
      <c r="BT2" s="116"/>
      <c r="BU2" s="61"/>
      <c r="BV2" s="61"/>
      <c r="BW2" s="116"/>
      <c r="BX2" s="116"/>
      <c r="BY2" s="61"/>
    </row>
    <row r="3" spans="1:77" s="249" customFormat="1" x14ac:dyDescent="0.3">
      <c r="B3" s="116" t="s">
        <v>61</v>
      </c>
      <c r="C3" s="116" t="s">
        <v>60</v>
      </c>
      <c r="D3" s="116" t="s">
        <v>61</v>
      </c>
      <c r="E3" s="116" t="s">
        <v>60</v>
      </c>
      <c r="F3" s="61"/>
      <c r="G3" s="61"/>
      <c r="H3" s="116" t="s">
        <v>61</v>
      </c>
      <c r="I3" s="116" t="s">
        <v>60</v>
      </c>
      <c r="J3" s="61"/>
      <c r="K3" s="61"/>
      <c r="L3" s="116" t="s">
        <v>61</v>
      </c>
      <c r="M3" s="116" t="s">
        <v>60</v>
      </c>
      <c r="N3" s="265" t="s">
        <v>61</v>
      </c>
      <c r="O3" s="265" t="s">
        <v>60</v>
      </c>
      <c r="P3" s="83"/>
      <c r="Q3" s="83"/>
      <c r="R3" s="83"/>
      <c r="S3" s="83"/>
      <c r="T3" s="116" t="s">
        <v>61</v>
      </c>
      <c r="U3" s="116" t="s">
        <v>60</v>
      </c>
      <c r="V3" s="61"/>
      <c r="W3" s="61"/>
      <c r="AV3" s="259"/>
      <c r="AW3" s="259"/>
      <c r="AZ3" s="118"/>
      <c r="BA3" s="118"/>
    </row>
    <row r="4" spans="1:77" x14ac:dyDescent="0.3">
      <c r="A4" s="118" t="s">
        <v>1</v>
      </c>
      <c r="B4" s="118">
        <v>679.36900000000003</v>
      </c>
      <c r="C4" s="118">
        <f>960-519.695</f>
        <v>440.30499999999995</v>
      </c>
      <c r="D4" s="118">
        <v>806.96600000000001</v>
      </c>
      <c r="E4" s="118">
        <f>960-384.893</f>
        <v>575.10699999999997</v>
      </c>
      <c r="F4" s="63">
        <v>714</v>
      </c>
      <c r="G4" s="63">
        <v>705</v>
      </c>
      <c r="H4" s="219">
        <v>808.5</v>
      </c>
      <c r="I4" s="74">
        <v>564</v>
      </c>
      <c r="J4" s="63">
        <v>1005</v>
      </c>
      <c r="K4" s="63">
        <v>515</v>
      </c>
      <c r="L4" s="118">
        <v>790</v>
      </c>
      <c r="M4" s="118">
        <v>533</v>
      </c>
      <c r="N4" s="266">
        <v>729</v>
      </c>
      <c r="O4" s="266">
        <v>313.5</v>
      </c>
      <c r="P4" s="74">
        <v>619</v>
      </c>
      <c r="Q4" s="74">
        <v>403</v>
      </c>
      <c r="R4" s="74">
        <v>618</v>
      </c>
      <c r="S4" s="74">
        <v>603</v>
      </c>
      <c r="T4" s="118">
        <v>652</v>
      </c>
      <c r="U4" s="118">
        <v>748</v>
      </c>
      <c r="V4" s="74"/>
      <c r="W4" s="74"/>
      <c r="Y4" s="217"/>
      <c r="Z4" s="217"/>
      <c r="AA4" s="217"/>
      <c r="AD4" s="217"/>
      <c r="AF4" s="217"/>
      <c r="AG4" s="217"/>
      <c r="AH4" s="217"/>
      <c r="AI4" s="217"/>
      <c r="AJ4" s="217"/>
      <c r="AK4" s="217"/>
      <c r="AL4" s="217"/>
      <c r="AM4" s="217"/>
      <c r="AN4" s="217"/>
      <c r="AO4" s="217"/>
      <c r="AP4" s="217"/>
      <c r="AQ4" s="217"/>
      <c r="AR4" s="217"/>
      <c r="AS4" s="217"/>
      <c r="AT4" s="217"/>
      <c r="AU4" s="217"/>
      <c r="AV4" s="260"/>
      <c r="AW4" s="258"/>
      <c r="BC4" s="217"/>
      <c r="BP4" s="63"/>
      <c r="BQ4" s="63"/>
      <c r="BU4" s="217"/>
      <c r="BY4" s="217"/>
    </row>
    <row r="5" spans="1:77" x14ac:dyDescent="0.3">
      <c r="A5" s="118" t="s">
        <v>2</v>
      </c>
      <c r="B5" s="118">
        <v>659.88699999999994</v>
      </c>
      <c r="C5" s="118">
        <f>960-523.061</f>
        <v>436.93899999999996</v>
      </c>
      <c r="D5" s="118">
        <v>803.67499999999995</v>
      </c>
      <c r="E5" s="118">
        <f>960-366.062</f>
        <v>593.93799999999999</v>
      </c>
      <c r="F5" s="63">
        <v>694</v>
      </c>
      <c r="G5" s="63">
        <v>201</v>
      </c>
      <c r="H5" s="258">
        <v>808</v>
      </c>
      <c r="I5" s="258">
        <v>556</v>
      </c>
      <c r="J5" s="63">
        <v>455</v>
      </c>
      <c r="K5" s="63">
        <v>545</v>
      </c>
      <c r="L5" s="74">
        <v>780</v>
      </c>
      <c r="M5" s="74">
        <v>531</v>
      </c>
      <c r="N5" s="267">
        <v>718</v>
      </c>
      <c r="O5" s="267">
        <v>312</v>
      </c>
      <c r="P5" s="74">
        <v>603</v>
      </c>
      <c r="Q5" s="74">
        <v>387</v>
      </c>
      <c r="R5" s="74">
        <v>636</v>
      </c>
      <c r="S5" s="74">
        <v>586</v>
      </c>
      <c r="T5" s="74">
        <v>627</v>
      </c>
      <c r="U5" s="74">
        <v>293</v>
      </c>
      <c r="V5" s="74"/>
      <c r="W5" s="74"/>
      <c r="X5" s="219"/>
      <c r="Y5" s="219"/>
      <c r="Z5" s="219"/>
      <c r="AA5" s="219"/>
      <c r="AB5" s="254"/>
      <c r="AC5" s="254"/>
      <c r="AD5" s="219"/>
      <c r="AH5" s="217"/>
      <c r="AI5" s="217"/>
      <c r="AJ5" s="217"/>
      <c r="AK5" s="217"/>
      <c r="AL5" s="217"/>
      <c r="AM5" s="217"/>
      <c r="AN5" s="217"/>
      <c r="AO5" s="217"/>
      <c r="AP5" s="217"/>
      <c r="AQ5" s="217"/>
      <c r="AR5" s="217"/>
      <c r="AS5" s="217"/>
      <c r="AT5" s="217"/>
      <c r="AU5" s="217"/>
      <c r="AV5" s="260"/>
      <c r="AW5" s="258"/>
      <c r="BC5" s="217"/>
      <c r="BP5" s="63"/>
      <c r="BQ5" s="63"/>
      <c r="BU5" s="217"/>
      <c r="BY5" s="217"/>
    </row>
    <row r="6" spans="1:77" x14ac:dyDescent="0.3">
      <c r="A6" s="118" t="s">
        <v>4</v>
      </c>
      <c r="B6" s="118">
        <f t="shared" ref="B6:M6" si="0">B5-B4</f>
        <v>-19.482000000000085</v>
      </c>
      <c r="C6" s="118">
        <f t="shared" si="0"/>
        <v>-3.3659999999999854</v>
      </c>
      <c r="D6" s="74">
        <f t="shared" si="0"/>
        <v>-3.2910000000000537</v>
      </c>
      <c r="E6" s="74">
        <f t="shared" si="0"/>
        <v>18.831000000000017</v>
      </c>
      <c r="F6" s="63">
        <f t="shared" si="0"/>
        <v>-20</v>
      </c>
      <c r="G6" s="63">
        <f t="shared" si="0"/>
        <v>-504</v>
      </c>
      <c r="H6" s="74">
        <f>H5-H4</f>
        <v>-0.5</v>
      </c>
      <c r="I6" s="74">
        <f>I5-I4</f>
        <v>-8</v>
      </c>
      <c r="J6" s="63">
        <f>J5-J4</f>
        <v>-550</v>
      </c>
      <c r="K6" s="63">
        <f>K5-K4</f>
        <v>30</v>
      </c>
      <c r="L6" s="74">
        <f t="shared" si="0"/>
        <v>-10</v>
      </c>
      <c r="M6" s="74">
        <f t="shared" si="0"/>
        <v>-2</v>
      </c>
      <c r="N6" s="267">
        <f>N5-N4</f>
        <v>-11</v>
      </c>
      <c r="O6" s="267">
        <f>O5-O4</f>
        <v>-1.5</v>
      </c>
      <c r="P6" s="74">
        <f t="shared" ref="P6:U6" si="1">P5-P4</f>
        <v>-16</v>
      </c>
      <c r="Q6" s="74">
        <f t="shared" si="1"/>
        <v>-16</v>
      </c>
      <c r="R6" s="74">
        <f>R5-R4</f>
        <v>18</v>
      </c>
      <c r="S6" s="74">
        <f>S5-S4</f>
        <v>-17</v>
      </c>
      <c r="T6" s="74">
        <f t="shared" si="1"/>
        <v>-25</v>
      </c>
      <c r="U6" s="74">
        <f t="shared" si="1"/>
        <v>-455</v>
      </c>
      <c r="V6" s="74"/>
      <c r="W6" s="74"/>
      <c r="X6" s="63"/>
      <c r="Y6" s="63"/>
      <c r="Z6" s="74"/>
      <c r="AA6" s="74"/>
      <c r="AB6" s="63"/>
      <c r="AC6" s="63"/>
      <c r="AD6" s="74"/>
      <c r="AE6" s="74"/>
      <c r="AF6" s="63"/>
      <c r="AG6" s="63"/>
      <c r="AH6" s="74"/>
      <c r="AI6" s="74"/>
      <c r="AJ6" s="63"/>
      <c r="AK6" s="63"/>
      <c r="AL6" s="74"/>
      <c r="AM6" s="74"/>
      <c r="AN6" s="63"/>
      <c r="AO6" s="63"/>
      <c r="AP6" s="74"/>
      <c r="AQ6" s="74"/>
      <c r="AR6" s="74"/>
      <c r="AS6" s="74"/>
      <c r="AT6" s="63"/>
      <c r="AU6" s="63"/>
      <c r="AV6" s="74"/>
      <c r="AW6" s="74"/>
      <c r="AX6" s="63"/>
      <c r="AY6" s="63"/>
      <c r="AZ6" s="74"/>
      <c r="BA6" s="74"/>
      <c r="BB6" s="63"/>
      <c r="BC6" s="63"/>
      <c r="BD6" s="74"/>
      <c r="BE6" s="74"/>
      <c r="BF6" s="63"/>
      <c r="BG6" s="63"/>
      <c r="BH6" s="74"/>
      <c r="BI6" s="74"/>
      <c r="BJ6" s="63"/>
      <c r="BK6" s="63"/>
      <c r="BL6" s="74"/>
      <c r="BM6" s="74"/>
      <c r="BN6" s="74"/>
      <c r="BO6" s="74"/>
      <c r="BP6" s="63"/>
      <c r="BQ6" s="63"/>
      <c r="BR6" s="74"/>
      <c r="BS6" s="74"/>
      <c r="BT6" s="63"/>
      <c r="BU6" s="63"/>
      <c r="BV6" s="74"/>
      <c r="BW6" s="74"/>
      <c r="BX6" s="63"/>
      <c r="BY6" s="63"/>
    </row>
    <row r="7" spans="1:77" x14ac:dyDescent="0.3">
      <c r="A7" s="118" t="s">
        <v>5</v>
      </c>
      <c r="B7" s="118">
        <f t="shared" ref="B7:M7" si="2">B6^2</f>
        <v>379.54832400000328</v>
      </c>
      <c r="C7" s="118">
        <f t="shared" si="2"/>
        <v>11.329955999999902</v>
      </c>
      <c r="D7" s="74">
        <f t="shared" si="2"/>
        <v>10.830681000000354</v>
      </c>
      <c r="E7" s="74">
        <f t="shared" si="2"/>
        <v>354.60656100000062</v>
      </c>
      <c r="F7" s="63">
        <f t="shared" si="2"/>
        <v>400</v>
      </c>
      <c r="G7" s="63">
        <f t="shared" si="2"/>
        <v>254016</v>
      </c>
      <c r="H7" s="74">
        <f>H6^2</f>
        <v>0.25</v>
      </c>
      <c r="I7" s="74">
        <f>I6^2</f>
        <v>64</v>
      </c>
      <c r="J7" s="63">
        <f>J6^2</f>
        <v>302500</v>
      </c>
      <c r="K7" s="63">
        <f>K6^2</f>
        <v>900</v>
      </c>
      <c r="L7" s="74">
        <f t="shared" si="2"/>
        <v>100</v>
      </c>
      <c r="M7" s="74">
        <f t="shared" si="2"/>
        <v>4</v>
      </c>
      <c r="N7" s="267">
        <f>N6^2</f>
        <v>121</v>
      </c>
      <c r="O7" s="267">
        <f>O6^2</f>
        <v>2.25</v>
      </c>
      <c r="P7" s="74">
        <f t="shared" ref="P7:U7" si="3">P6^2</f>
        <v>256</v>
      </c>
      <c r="Q7" s="74">
        <f t="shared" si="3"/>
        <v>256</v>
      </c>
      <c r="R7" s="74">
        <f>R6^2</f>
        <v>324</v>
      </c>
      <c r="S7" s="74">
        <f>S6^2</f>
        <v>289</v>
      </c>
      <c r="T7" s="74">
        <f t="shared" si="3"/>
        <v>625</v>
      </c>
      <c r="U7" s="74">
        <f t="shared" si="3"/>
        <v>207025</v>
      </c>
      <c r="V7" s="74"/>
      <c r="W7" s="74"/>
      <c r="X7" s="63"/>
      <c r="Y7" s="63"/>
      <c r="Z7" s="74"/>
      <c r="AA7" s="74"/>
      <c r="AB7" s="63"/>
      <c r="AC7" s="63"/>
      <c r="AD7" s="74"/>
      <c r="AE7" s="74"/>
      <c r="AF7" s="63"/>
      <c r="AG7" s="63"/>
      <c r="AH7" s="74"/>
      <c r="AI7" s="74"/>
      <c r="AJ7" s="63"/>
      <c r="AK7" s="63"/>
      <c r="AL7" s="74"/>
      <c r="AM7" s="74"/>
      <c r="AN7" s="63"/>
      <c r="AO7" s="63"/>
      <c r="AP7" s="74"/>
      <c r="AQ7" s="74"/>
      <c r="AR7" s="74"/>
      <c r="AS7" s="74"/>
      <c r="AT7" s="63"/>
      <c r="AU7" s="63"/>
      <c r="AV7" s="74"/>
      <c r="AW7" s="74"/>
      <c r="AX7" s="63"/>
      <c r="AY7" s="63"/>
      <c r="AZ7" s="74"/>
      <c r="BA7" s="74"/>
      <c r="BB7" s="63"/>
      <c r="BC7" s="63"/>
      <c r="BD7" s="74"/>
      <c r="BE7" s="74"/>
      <c r="BF7" s="63"/>
      <c r="BG7" s="63"/>
      <c r="BH7" s="74"/>
      <c r="BI7" s="74"/>
      <c r="BJ7" s="63"/>
      <c r="BK7" s="63"/>
      <c r="BL7" s="74"/>
      <c r="BM7" s="74"/>
      <c r="BN7" s="74"/>
      <c r="BO7" s="74"/>
      <c r="BP7" s="63"/>
      <c r="BQ7" s="63"/>
      <c r="BR7" s="74"/>
      <c r="BS7" s="74"/>
      <c r="BT7" s="63"/>
      <c r="BU7" s="63"/>
      <c r="BV7" s="74"/>
      <c r="BW7" s="74"/>
      <c r="BX7" s="63"/>
      <c r="BY7" s="63"/>
    </row>
    <row r="8" spans="1:77" x14ac:dyDescent="0.3">
      <c r="A8" s="118" t="s">
        <v>6</v>
      </c>
      <c r="C8" s="118">
        <f>SQRT(SUM(B7:C7))</f>
        <v>19.770641871219134</v>
      </c>
      <c r="D8" s="74"/>
      <c r="E8" s="74">
        <f>SQRT(SUM(D7:E7))</f>
        <v>19.116412895729184</v>
      </c>
      <c r="G8" s="63">
        <f>SQRT(SUM(F7:G7))</f>
        <v>504.39666929907457</v>
      </c>
      <c r="H8" s="74"/>
      <c r="I8" s="74">
        <f>SQRT(SUM(H7:I7))</f>
        <v>8.0156097709406993</v>
      </c>
      <c r="K8" s="63">
        <f>SQRT(SUM(J7:K7))</f>
        <v>550.81757415681648</v>
      </c>
      <c r="L8" s="74"/>
      <c r="M8" s="74">
        <f>SQRT(SUM(L7:M7))</f>
        <v>10.198039027185569</v>
      </c>
      <c r="N8" s="267"/>
      <c r="O8" s="267">
        <f>SQRT(SUM(N7:O7))</f>
        <v>11.101801655587259</v>
      </c>
      <c r="P8" s="74"/>
      <c r="Q8" s="74">
        <f>SQRT(SUM(P7:Q7))</f>
        <v>22.627416997969522</v>
      </c>
      <c r="R8" s="74"/>
      <c r="S8" s="74">
        <f>SQRT(SUM(R7:S7))</f>
        <v>24.758836806279895</v>
      </c>
      <c r="T8" s="74"/>
      <c r="U8" s="74">
        <f>SQRT(SUM(T7:U7))</f>
        <v>455.6862956025779</v>
      </c>
      <c r="V8" s="74"/>
      <c r="W8" s="74"/>
      <c r="X8" s="63"/>
      <c r="Y8" s="63"/>
      <c r="Z8" s="74"/>
      <c r="AA8" s="74"/>
      <c r="AB8" s="63"/>
      <c r="AC8" s="63"/>
      <c r="AD8" s="74"/>
      <c r="AE8" s="74"/>
      <c r="AF8" s="63"/>
      <c r="AG8" s="63"/>
      <c r="AH8" s="74"/>
      <c r="AI8" s="74"/>
      <c r="AJ8" s="63"/>
      <c r="AK8" s="63"/>
      <c r="AL8" s="74"/>
      <c r="AM8" s="74"/>
      <c r="AN8" s="63"/>
      <c r="AO8" s="63"/>
      <c r="AP8" s="74"/>
      <c r="AQ8" s="74"/>
      <c r="AR8" s="74"/>
      <c r="AS8" s="74"/>
      <c r="AT8" s="63"/>
      <c r="AU8" s="63"/>
      <c r="AV8" s="74"/>
      <c r="AW8" s="74"/>
      <c r="AX8" s="63"/>
      <c r="AY8" s="63"/>
      <c r="AZ8" s="74"/>
      <c r="BA8" s="74"/>
      <c r="BB8" s="63"/>
      <c r="BC8" s="63"/>
      <c r="BD8" s="74"/>
      <c r="BE8" s="74"/>
      <c r="BF8" s="63"/>
      <c r="BG8" s="63"/>
      <c r="BH8" s="74"/>
      <c r="BI8" s="74"/>
      <c r="BJ8" s="63"/>
      <c r="BK8" s="63"/>
      <c r="BL8" s="74"/>
      <c r="BM8" s="74"/>
      <c r="BN8" s="74"/>
      <c r="BO8" s="74"/>
      <c r="BP8" s="63"/>
      <c r="BQ8" s="63"/>
      <c r="BR8" s="74"/>
      <c r="BS8" s="74"/>
      <c r="BT8" s="63"/>
      <c r="BU8" s="63"/>
      <c r="BV8" s="74"/>
      <c r="BW8" s="74"/>
      <c r="BX8" s="63"/>
      <c r="BY8" s="63"/>
    </row>
    <row r="9" spans="1:77" x14ac:dyDescent="0.3">
      <c r="A9" s="118" t="s">
        <v>7</v>
      </c>
      <c r="C9" s="118">
        <f>MOD(ATAN2(C6,B6)*180/PI()+270,360)</f>
        <v>170.19750328475484</v>
      </c>
      <c r="D9" s="74"/>
      <c r="E9" s="74">
        <f>MOD(ATAN2(E6,D6)*180/PI()+270,360)</f>
        <v>260.0868185836124</v>
      </c>
      <c r="G9" s="63">
        <f>MOD(ATAN2(G6,F6)*180/PI()+270,360)</f>
        <v>92.272449732782945</v>
      </c>
      <c r="H9" s="74"/>
      <c r="I9" s="74">
        <f>MOD(ATAN2(I6,H6)*180/PI()+270,360)</f>
        <v>93.576334374997373</v>
      </c>
      <c r="K9" s="63">
        <f>MOD(ATAN2(K6,J6)*180/PI()+270,360)</f>
        <v>183.12213046211571</v>
      </c>
      <c r="L9" s="74"/>
      <c r="M9" s="74">
        <f>MOD(ATAN2(M6,L6)*180/PI()+270,360)</f>
        <v>168.69006752597977</v>
      </c>
      <c r="N9" s="267"/>
      <c r="O9" s="267">
        <f>MOD(ATAN2(O6,N6)*180/PI()+270,360)</f>
        <v>172.23483398157467</v>
      </c>
      <c r="P9" s="74"/>
      <c r="Q9" s="74">
        <f>MOD(ATAN2(Q6,P6)*180/PI()+270,360)</f>
        <v>135</v>
      </c>
      <c r="R9" s="74"/>
      <c r="S9" s="74">
        <f>MOD(ATAN2(S6,R6)*180/PI()+270,360)</f>
        <v>43.363422958383239</v>
      </c>
      <c r="T9" s="74"/>
      <c r="U9" s="74">
        <f>MOD(ATAN2(U6,T6)*180/PI()+270,360)</f>
        <v>93.144957464697995</v>
      </c>
      <c r="V9" s="74"/>
      <c r="W9" s="74"/>
      <c r="X9" s="63"/>
      <c r="Y9" s="63"/>
      <c r="Z9" s="74"/>
      <c r="AA9" s="74"/>
      <c r="AB9" s="63"/>
      <c r="AC9" s="63"/>
      <c r="AD9" s="74"/>
      <c r="AE9" s="74"/>
      <c r="AF9" s="63"/>
      <c r="AG9" s="63"/>
      <c r="AH9" s="74"/>
      <c r="AI9" s="74"/>
      <c r="AJ9" s="63"/>
      <c r="AK9" s="63"/>
      <c r="AL9" s="74"/>
      <c r="AM9" s="74"/>
      <c r="AN9" s="63"/>
      <c r="AO9" s="63"/>
      <c r="AP9" s="74"/>
      <c r="AQ9" s="74"/>
      <c r="AR9" s="74"/>
      <c r="AS9" s="74"/>
      <c r="AT9" s="63"/>
      <c r="AU9" s="63"/>
      <c r="AV9" s="74"/>
      <c r="AW9" s="74"/>
      <c r="AX9" s="63"/>
      <c r="AY9" s="63"/>
      <c r="AZ9" s="74"/>
      <c r="BA9" s="74"/>
      <c r="BB9" s="63"/>
      <c r="BC9" s="63"/>
      <c r="BD9" s="74"/>
      <c r="BE9" s="74"/>
      <c r="BF9" s="63"/>
      <c r="BG9" s="63"/>
      <c r="BH9" s="74"/>
      <c r="BI9" s="74"/>
      <c r="BJ9" s="63"/>
      <c r="BK9" s="63"/>
      <c r="BL9" s="74"/>
      <c r="BM9" s="74"/>
      <c r="BN9" s="74"/>
      <c r="BO9" s="74"/>
      <c r="BP9" s="63"/>
      <c r="BQ9" s="63"/>
      <c r="BR9" s="74"/>
      <c r="BS9" s="74"/>
      <c r="BT9" s="63"/>
      <c r="BU9" s="63"/>
      <c r="BV9" s="74"/>
      <c r="BW9" s="74"/>
      <c r="BX9" s="63"/>
      <c r="BY9" s="63"/>
    </row>
    <row r="10" spans="1:77" s="248" customFormat="1" ht="117" customHeight="1" x14ac:dyDescent="0.3">
      <c r="A10" s="250" t="s">
        <v>40</v>
      </c>
      <c r="B10" s="384"/>
      <c r="C10" s="384"/>
      <c r="D10" s="384"/>
      <c r="E10" s="384"/>
      <c r="F10" s="382"/>
      <c r="G10" s="382"/>
      <c r="H10" s="384"/>
      <c r="I10" s="384"/>
      <c r="J10" s="385"/>
      <c r="K10" s="385"/>
      <c r="L10" s="384"/>
      <c r="M10" s="384"/>
      <c r="N10" s="429" t="s">
        <v>328</v>
      </c>
      <c r="O10" s="429"/>
      <c r="P10" s="384" t="s">
        <v>328</v>
      </c>
      <c r="Q10" s="384"/>
      <c r="R10" s="384" t="s">
        <v>328</v>
      </c>
      <c r="S10" s="384"/>
      <c r="T10" s="384"/>
      <c r="U10" s="384"/>
      <c r="V10" s="426"/>
      <c r="W10" s="426"/>
      <c r="X10" s="382"/>
      <c r="Y10" s="382"/>
      <c r="Z10" s="426"/>
      <c r="AA10" s="426"/>
      <c r="AD10" s="425"/>
      <c r="AE10" s="425"/>
      <c r="AH10" s="425"/>
      <c r="AI10" s="425"/>
      <c r="AL10" s="425"/>
      <c r="AM10" s="425"/>
      <c r="AP10" s="425"/>
      <c r="AQ10" s="425"/>
      <c r="AR10" s="425"/>
      <c r="AS10" s="425"/>
      <c r="BH10" s="74"/>
      <c r="BI10" s="74"/>
      <c r="BR10" s="425"/>
      <c r="BS10" s="425"/>
      <c r="BV10" s="425"/>
      <c r="BW10" s="425"/>
    </row>
    <row r="11" spans="1:77" s="127" customFormat="1" x14ac:dyDescent="0.3">
      <c r="A11" s="120" t="s">
        <v>37</v>
      </c>
      <c r="B11" s="120"/>
      <c r="C11" s="120"/>
      <c r="D11" s="120"/>
      <c r="E11" s="120"/>
      <c r="F11" s="67"/>
      <c r="G11" s="67"/>
      <c r="H11" s="120"/>
      <c r="I11" s="120"/>
      <c r="J11" s="67"/>
      <c r="K11" s="67"/>
      <c r="L11" s="120"/>
      <c r="M11" s="120"/>
      <c r="N11" s="264"/>
      <c r="O11" s="264"/>
      <c r="P11" s="67"/>
      <c r="Q11" s="67"/>
      <c r="R11" s="67"/>
      <c r="S11" s="67"/>
      <c r="T11" s="120"/>
      <c r="U11" s="120"/>
      <c r="V11" s="67"/>
      <c r="W11" s="67"/>
      <c r="X11" s="67"/>
      <c r="Y11" s="67"/>
      <c r="Z11" s="67"/>
      <c r="AA11" s="67"/>
    </row>
    <row r="12" spans="1:77" s="262" customFormat="1" x14ac:dyDescent="0.3">
      <c r="B12" s="262" t="s">
        <v>62</v>
      </c>
      <c r="C12" s="262" t="s">
        <v>63</v>
      </c>
      <c r="D12" s="262" t="s">
        <v>62</v>
      </c>
      <c r="E12" s="262" t="s">
        <v>63</v>
      </c>
      <c r="F12" s="69"/>
      <c r="G12" s="69"/>
      <c r="H12" s="262" t="s">
        <v>62</v>
      </c>
      <c r="I12" s="262" t="s">
        <v>63</v>
      </c>
      <c r="J12" s="69"/>
      <c r="K12" s="69"/>
      <c r="L12" s="262" t="s">
        <v>62</v>
      </c>
      <c r="M12" s="262" t="s">
        <v>63</v>
      </c>
      <c r="N12" s="268" t="s">
        <v>62</v>
      </c>
      <c r="O12" s="268" t="s">
        <v>63</v>
      </c>
      <c r="P12" s="69"/>
      <c r="Q12" s="69"/>
      <c r="R12" s="69"/>
      <c r="S12" s="69"/>
      <c r="T12" s="262" t="s">
        <v>62</v>
      </c>
      <c r="U12" s="262" t="s">
        <v>63</v>
      </c>
      <c r="V12" s="69"/>
      <c r="W12" s="69"/>
      <c r="X12" s="69"/>
      <c r="Y12" s="69"/>
      <c r="Z12" s="69"/>
      <c r="AA12" s="69"/>
    </row>
    <row r="13" spans="1:77" x14ac:dyDescent="0.3">
      <c r="A13" s="118" t="s">
        <v>18</v>
      </c>
      <c r="X13" s="63"/>
      <c r="Y13" s="63"/>
      <c r="Z13" s="63"/>
      <c r="AA13" s="63"/>
    </row>
    <row r="14" spans="1:77" x14ac:dyDescent="0.3">
      <c r="A14" s="118" t="s">
        <v>17</v>
      </c>
      <c r="X14" s="63"/>
      <c r="Y14" s="63"/>
      <c r="Z14" s="63"/>
      <c r="AA14" s="63"/>
    </row>
    <row r="15" spans="1:77" x14ac:dyDescent="0.3">
      <c r="A15" s="118" t="s">
        <v>14</v>
      </c>
      <c r="X15" s="63"/>
      <c r="Y15" s="63"/>
      <c r="Z15" s="63"/>
      <c r="AA15" s="63"/>
    </row>
    <row r="16" spans="1:77" x14ac:dyDescent="0.3">
      <c r="A16" s="118" t="s">
        <v>13</v>
      </c>
      <c r="C16" s="147">
        <v>2.34</v>
      </c>
      <c r="D16" s="263"/>
      <c r="E16" s="147">
        <v>2.3679999999999999</v>
      </c>
      <c r="G16" s="111">
        <f>5*15.0412*COS((39+40/60+50/3600)*PI()/180)</f>
        <v>57.879762638061536</v>
      </c>
      <c r="I16" s="118">
        <v>1.0389999999999999</v>
      </c>
      <c r="K16" s="111">
        <f>5*15.0412*COS((32+54/60+54/3600)*PI()/180)</f>
        <v>63.133754869222003</v>
      </c>
      <c r="L16" s="123"/>
      <c r="M16" s="118">
        <v>1.0389999999999999</v>
      </c>
      <c r="O16" s="266">
        <v>1.0389999999999999</v>
      </c>
      <c r="Q16" s="118">
        <v>2.677</v>
      </c>
      <c r="S16" s="118">
        <v>2.677</v>
      </c>
      <c r="T16" s="123"/>
      <c r="U16" s="111">
        <f>5*15.0412*COS((45+9/60+18/3600)*PI()/180)</f>
        <v>53.034616015306668</v>
      </c>
      <c r="W16" s="90"/>
      <c r="X16" s="63"/>
      <c r="Y16" s="111"/>
      <c r="Z16" s="63"/>
      <c r="AA16" s="90"/>
      <c r="AB16" s="63"/>
      <c r="AC16" s="111"/>
      <c r="AF16" s="63"/>
      <c r="AG16" s="255"/>
      <c r="AJ16" s="63"/>
      <c r="AK16" s="255"/>
      <c r="AN16" s="63"/>
      <c r="AO16" s="255"/>
      <c r="AT16" s="63"/>
      <c r="AU16" s="255"/>
      <c r="AX16" s="63"/>
      <c r="AY16" s="111"/>
      <c r="BB16" s="63"/>
      <c r="BC16" s="111"/>
      <c r="BF16" s="63"/>
      <c r="BG16" s="111"/>
      <c r="BJ16" s="63"/>
      <c r="BK16" s="111"/>
      <c r="BP16" s="63"/>
      <c r="BQ16" s="111"/>
      <c r="BT16" s="63"/>
      <c r="BU16" s="111"/>
      <c r="BX16" s="63"/>
      <c r="BY16" s="111"/>
    </row>
    <row r="17" spans="1:77" x14ac:dyDescent="0.3">
      <c r="A17" s="118" t="s">
        <v>7</v>
      </c>
      <c r="C17" s="118">
        <v>347.71</v>
      </c>
      <c r="D17" s="123"/>
      <c r="E17" s="118">
        <v>78.36</v>
      </c>
      <c r="G17" s="63">
        <v>-90</v>
      </c>
      <c r="I17" s="141">
        <v>257.95999999999998</v>
      </c>
      <c r="K17" s="63">
        <v>-90</v>
      </c>
      <c r="L17" s="123"/>
      <c r="M17" s="141">
        <v>257.95999999999998</v>
      </c>
      <c r="O17" s="269">
        <v>257.95999999999998</v>
      </c>
      <c r="Q17" s="118">
        <v>220.09</v>
      </c>
      <c r="S17" s="118">
        <v>220.09</v>
      </c>
      <c r="T17" s="123"/>
      <c r="U17" s="63">
        <v>-90</v>
      </c>
      <c r="W17" s="93"/>
      <c r="X17" s="63"/>
      <c r="Y17" s="63"/>
      <c r="Z17" s="63"/>
      <c r="AA17" s="93"/>
      <c r="AB17" s="63"/>
      <c r="AC17" s="63"/>
      <c r="AF17" s="63"/>
      <c r="AG17" s="63"/>
      <c r="AJ17" s="63"/>
      <c r="AK17" s="63"/>
      <c r="AN17" s="63"/>
      <c r="AO17" s="63"/>
      <c r="AT17" s="63"/>
      <c r="AU17" s="63"/>
      <c r="AX17" s="63"/>
      <c r="AY17" s="63"/>
      <c r="BB17" s="63"/>
      <c r="BC17" s="63"/>
      <c r="BE17" s="141"/>
      <c r="BF17" s="63"/>
      <c r="BG17" s="63"/>
      <c r="BI17" s="141"/>
      <c r="BJ17" s="63"/>
      <c r="BK17" s="63"/>
      <c r="BP17" s="63"/>
      <c r="BQ17" s="63"/>
      <c r="BT17" s="63"/>
      <c r="BU17" s="63"/>
      <c r="BX17" s="63"/>
      <c r="BY17" s="63"/>
    </row>
    <row r="18" spans="1:77" x14ac:dyDescent="0.3">
      <c r="A18" s="118" t="s">
        <v>32</v>
      </c>
      <c r="B18" s="72">
        <f>-C16*SIN((C17)/180*PI())</f>
        <v>0.49809206399716494</v>
      </c>
      <c r="C18" s="72">
        <f>C16*COS((C17)/180*PI())</f>
        <v>2.2863736124664849</v>
      </c>
      <c r="D18" s="72">
        <f>-E16*SIN((E17)/180*PI())</f>
        <v>-2.3193012086307632</v>
      </c>
      <c r="E18" s="72">
        <f>E16*COS((E17)/180*PI())</f>
        <v>0.47777181126964857</v>
      </c>
      <c r="F18" s="72">
        <f>-G16*SIN((G17)/180*PI())</f>
        <v>57.879762638061536</v>
      </c>
      <c r="G18" s="72">
        <f>G16*COS((G17)/180*PI())</f>
        <v>3.5455650883249381E-15</v>
      </c>
      <c r="H18" s="72">
        <f>-I16*SIN((I17)/180*PI())</f>
        <v>1.0161442989273919</v>
      </c>
      <c r="I18" s="72">
        <f>I16*COS((I17)/180*PI())</f>
        <v>-0.21672970206540473</v>
      </c>
      <c r="J18" s="72">
        <f>-K16*SIN((K17)/180*PI())</f>
        <v>63.133754869222003</v>
      </c>
      <c r="K18" s="72">
        <f>K16*COS((K17)/180*PI())</f>
        <v>3.8674111115303453E-15</v>
      </c>
      <c r="L18" s="72">
        <f>-M16*SIN((M17)/180*PI())</f>
        <v>1.0161442989273919</v>
      </c>
      <c r="M18" s="72">
        <f>M16*COS((M17)/180*PI())</f>
        <v>-0.21672970206540473</v>
      </c>
      <c r="N18" s="270">
        <f>-O16*SIN((O17)/180*PI())</f>
        <v>1.0161442989273919</v>
      </c>
      <c r="O18" s="270">
        <f>O16*COS((O17)/180*PI())</f>
        <v>-0.21672970206540473</v>
      </c>
      <c r="P18" s="72">
        <f>-Q16*SIN((Q17)/180*PI())</f>
        <v>1.7239615404834137</v>
      </c>
      <c r="Q18" s="72">
        <f>Q16*COS((Q17)/180*PI())</f>
        <v>-2.0479955095004616</v>
      </c>
      <c r="R18" s="72">
        <f>-S16*SIN((S17)/180*PI())</f>
        <v>1.7239615404834137</v>
      </c>
      <c r="S18" s="72">
        <f>S16*COS((S17)/180*PI())</f>
        <v>-2.0479955095004616</v>
      </c>
      <c r="T18" s="72">
        <f>-U16*SIN((U17)/180*PI())</f>
        <v>53.034616015306668</v>
      </c>
      <c r="U18" s="72">
        <f>U16*COS((U17)/180*PI())</f>
        <v>3.248763893391246E-15</v>
      </c>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row>
    <row r="19" spans="1:77" s="164" customFormat="1" ht="69" customHeight="1" x14ac:dyDescent="0.3">
      <c r="A19" s="251" t="s">
        <v>40</v>
      </c>
      <c r="B19" s="388"/>
      <c r="C19" s="388"/>
      <c r="D19" s="388"/>
      <c r="E19" s="388"/>
      <c r="F19" s="65"/>
      <c r="G19" s="65"/>
      <c r="H19" s="388"/>
      <c r="I19" s="388"/>
      <c r="J19" s="427"/>
      <c r="K19" s="427"/>
      <c r="L19" s="388"/>
      <c r="M19" s="388"/>
      <c r="N19" s="429" t="s">
        <v>346</v>
      </c>
      <c r="O19" s="429"/>
      <c r="P19" s="65"/>
      <c r="Q19" s="65"/>
      <c r="R19" s="65"/>
      <c r="S19" s="65"/>
      <c r="T19" s="388"/>
      <c r="U19" s="388"/>
      <c r="V19" s="65"/>
      <c r="W19" s="65"/>
      <c r="AF19" s="428"/>
      <c r="AG19" s="428"/>
      <c r="AH19" s="425"/>
      <c r="AI19" s="425"/>
    </row>
    <row r="20" spans="1:77" s="127" customFormat="1" x14ac:dyDescent="0.3">
      <c r="A20" s="252" t="s">
        <v>38</v>
      </c>
      <c r="F20" s="67"/>
      <c r="G20" s="67"/>
      <c r="J20" s="67"/>
      <c r="K20" s="67"/>
      <c r="N20" s="271"/>
      <c r="O20" s="271"/>
      <c r="P20" s="67"/>
      <c r="Q20" s="67"/>
      <c r="R20" s="67"/>
      <c r="S20" s="67"/>
      <c r="V20" s="67"/>
      <c r="W20" s="67"/>
    </row>
    <row r="21" spans="1:77" x14ac:dyDescent="0.3">
      <c r="A21" s="139" t="s">
        <v>65</v>
      </c>
      <c r="C21" s="118">
        <f>C16/C8</f>
        <v>0.11835731056392386</v>
      </c>
      <c r="E21" s="118">
        <f>E16/E8</f>
        <v>0.12387261213263692</v>
      </c>
      <c r="G21" s="118">
        <f>G16/G8</f>
        <v>0.11475048540366665</v>
      </c>
      <c r="I21" s="118">
        <f>I16/I8</f>
        <v>0.12962207863046513</v>
      </c>
      <c r="K21" s="118">
        <f>K16/K8</f>
        <v>0.11461826534105458</v>
      </c>
      <c r="M21" s="118">
        <f>M16/M8</f>
        <v>0.10188233220428661</v>
      </c>
      <c r="O21" s="266">
        <f>O16/O8</f>
        <v>9.3588413145275134E-2</v>
      </c>
      <c r="Q21" s="118">
        <f>Q16/Q8</f>
        <v>0.11830780332727422</v>
      </c>
      <c r="S21" s="118">
        <f>S16/S8</f>
        <v>0.1081230116319923</v>
      </c>
      <c r="U21" s="118">
        <f>U16/U8</f>
        <v>0.1163840486911642</v>
      </c>
      <c r="W21" s="118"/>
      <c r="AD21" s="63"/>
      <c r="AH21" s="63"/>
      <c r="AL21" s="63"/>
      <c r="AP21" s="63"/>
      <c r="AR21" s="63"/>
      <c r="BP21" s="63"/>
      <c r="BT21" s="63"/>
    </row>
    <row r="22" spans="1:77" x14ac:dyDescent="0.3">
      <c r="A22" s="118" t="s">
        <v>34</v>
      </c>
      <c r="C22" s="129"/>
      <c r="I22" s="129"/>
      <c r="AA22" s="63"/>
      <c r="AD22" s="63"/>
      <c r="AE22" s="63"/>
      <c r="AH22" s="63"/>
      <c r="AI22" s="63"/>
      <c r="AL22" s="63"/>
      <c r="AM22" s="63"/>
      <c r="AP22" s="63"/>
      <c r="AQ22" s="63"/>
      <c r="AR22" s="63"/>
      <c r="AS22" s="63"/>
      <c r="AW22" s="63"/>
      <c r="AY22" s="63"/>
      <c r="BA22" s="129"/>
      <c r="BC22" s="63"/>
      <c r="BE22" s="129"/>
      <c r="BG22" s="63"/>
      <c r="BI22" s="129"/>
      <c r="BK22" s="63"/>
      <c r="BM22" s="129"/>
      <c r="BO22" s="129"/>
      <c r="BP22" s="63"/>
      <c r="BQ22" s="63"/>
      <c r="BS22" s="129"/>
      <c r="BT22" s="63"/>
      <c r="BU22" s="63"/>
      <c r="BW22" s="129"/>
      <c r="BY22" s="63"/>
    </row>
    <row r="23" spans="1:77" x14ac:dyDescent="0.3">
      <c r="A23" s="118" t="s">
        <v>35</v>
      </c>
      <c r="C23" s="118">
        <f>C21-$C22</f>
        <v>0.11835731056392386</v>
      </c>
      <c r="E23" s="118">
        <f>E21-$C22</f>
        <v>0.12387261213263692</v>
      </c>
      <c r="G23" s="118">
        <f>G21-$C22</f>
        <v>0.11475048540366665</v>
      </c>
      <c r="I23" s="118">
        <f>I21-$C22</f>
        <v>0.12962207863046513</v>
      </c>
      <c r="K23" s="118">
        <f>K21-$C22</f>
        <v>0.11461826534105458</v>
      </c>
      <c r="M23" s="118">
        <f>M21-$C22</f>
        <v>0.10188233220428661</v>
      </c>
      <c r="O23" s="266">
        <f>O21-$C22</f>
        <v>9.3588413145275134E-2</v>
      </c>
      <c r="Q23" s="118">
        <f>Q21-$C22</f>
        <v>0.11830780332727422</v>
      </c>
      <c r="S23" s="118">
        <f>S21-$C22</f>
        <v>0.1081230116319923</v>
      </c>
      <c r="U23" s="118">
        <f>U21-$C22</f>
        <v>0.1163840486911642</v>
      </c>
      <c r="W23" s="118"/>
      <c r="AD23" s="63"/>
      <c r="AH23" s="63"/>
      <c r="AL23" s="63"/>
      <c r="AP23" s="63"/>
      <c r="AR23" s="63"/>
      <c r="BP23" s="63"/>
      <c r="BT23" s="63"/>
    </row>
    <row r="24" spans="1:77" x14ac:dyDescent="0.3">
      <c r="A24" s="139" t="s">
        <v>64</v>
      </c>
      <c r="C24" s="74">
        <f>MOD(C9-C17,360)</f>
        <v>182.48750328475487</v>
      </c>
      <c r="E24" s="74">
        <f>MOD(E9-E17,360)</f>
        <v>181.72681858361238</v>
      </c>
      <c r="G24" s="74">
        <f>MOD(G9-G17,360)</f>
        <v>182.27244973278295</v>
      </c>
      <c r="I24" s="74">
        <f>MOD(I9-I17,360)</f>
        <v>195.61633437499739</v>
      </c>
      <c r="K24" s="74">
        <f>MOD(K9-K17,360)</f>
        <v>273.12213046211571</v>
      </c>
      <c r="M24" s="74">
        <f>MOD(M9-M17,360)</f>
        <v>270.73006752597979</v>
      </c>
      <c r="O24" s="267">
        <f>MOD(O9-O17,360)</f>
        <v>274.27483398157472</v>
      </c>
      <c r="Q24" s="74">
        <f>MOD(Q9-Q17,360)</f>
        <v>274.90999999999997</v>
      </c>
      <c r="S24" s="74">
        <f>MOD(S9-S17,360)</f>
        <v>183.27342295838324</v>
      </c>
      <c r="U24" s="74">
        <f>MOD(U9-U17,360)</f>
        <v>183.144957464698</v>
      </c>
      <c r="W24" s="74"/>
      <c r="Y24" s="74"/>
      <c r="AA24" s="74"/>
      <c r="AC24" s="74"/>
      <c r="AD24" s="63"/>
      <c r="AE24" s="74"/>
      <c r="AG24" s="74"/>
      <c r="AH24" s="63"/>
      <c r="AI24" s="74"/>
      <c r="AK24" s="74"/>
      <c r="AL24" s="63"/>
      <c r="AM24" s="74"/>
      <c r="AO24" s="74"/>
      <c r="AP24" s="63"/>
      <c r="AQ24" s="74"/>
      <c r="AR24" s="63"/>
      <c r="AS24" s="74"/>
      <c r="AU24" s="74"/>
      <c r="AW24" s="74"/>
      <c r="AY24" s="74"/>
      <c r="BA24" s="74"/>
      <c r="BC24" s="74"/>
      <c r="BE24" s="74"/>
      <c r="BG24" s="74"/>
      <c r="BI24" s="74"/>
      <c r="BK24" s="74"/>
      <c r="BM24" s="74"/>
      <c r="BO24" s="74"/>
      <c r="BP24" s="63"/>
      <c r="BQ24" s="74"/>
      <c r="BS24" s="74"/>
      <c r="BT24" s="63"/>
      <c r="BU24" s="74"/>
      <c r="BW24" s="74"/>
      <c r="BY24" s="74"/>
    </row>
    <row r="25" spans="1:77" x14ac:dyDescent="0.3">
      <c r="A25" s="118" t="s">
        <v>36</v>
      </c>
      <c r="T25" s="118" t="e">
        <f>STDEV(T24:W24)</f>
        <v>#DIV/0!</v>
      </c>
      <c r="U25" s="118">
        <f>AVERAGE(T24:W24)</f>
        <v>183.144957464698</v>
      </c>
      <c r="AA25" s="63"/>
      <c r="AD25" s="63"/>
      <c r="AE25" s="63"/>
      <c r="AH25" s="63"/>
      <c r="AI25" s="63"/>
      <c r="AL25" s="63"/>
      <c r="AM25" s="63"/>
      <c r="AP25" s="63"/>
      <c r="AQ25" s="63"/>
      <c r="AR25" s="63"/>
      <c r="AS25" s="63"/>
      <c r="AW25" s="63"/>
      <c r="AY25" s="63"/>
      <c r="BC25" s="63"/>
      <c r="BG25" s="63"/>
      <c r="BK25" s="63"/>
      <c r="BP25" s="63"/>
      <c r="BQ25" s="63"/>
      <c r="BT25" s="63"/>
      <c r="BU25" s="63"/>
      <c r="BY25" s="63"/>
    </row>
    <row r="26" spans="1:77" x14ac:dyDescent="0.3">
      <c r="A26" s="118" t="s">
        <v>35</v>
      </c>
      <c r="C26" s="118">
        <f>C24-$C25</f>
        <v>182.48750328475487</v>
      </c>
      <c r="E26" s="118">
        <f>E24-$C25</f>
        <v>181.72681858361238</v>
      </c>
      <c r="G26" s="118">
        <f>G24-$C25</f>
        <v>182.27244973278295</v>
      </c>
      <c r="I26" s="118">
        <f>I24-$C25</f>
        <v>195.61633437499739</v>
      </c>
      <c r="K26" s="63">
        <f>K24-$C25</f>
        <v>273.12213046211571</v>
      </c>
      <c r="M26" s="118">
        <f>M24-$C25</f>
        <v>270.73006752597979</v>
      </c>
      <c r="O26" s="266">
        <f>O24-$C25</f>
        <v>274.27483398157472</v>
      </c>
      <c r="Q26" s="63">
        <f>Q24-$C25</f>
        <v>274.90999999999997</v>
      </c>
      <c r="S26" s="63">
        <f>S24-$C25</f>
        <v>183.27342295838324</v>
      </c>
      <c r="U26" s="118">
        <f>U24-$C25</f>
        <v>183.144957464698</v>
      </c>
      <c r="W26" s="118"/>
      <c r="AD26" s="63"/>
      <c r="AH26" s="63"/>
      <c r="AL26" s="63"/>
      <c r="AP26" s="63"/>
      <c r="AR26" s="63"/>
      <c r="AY26" s="63"/>
      <c r="BC26" s="63"/>
      <c r="BG26" s="63"/>
      <c r="BK26" s="63"/>
      <c r="BP26" s="63"/>
      <c r="BQ26" s="63"/>
      <c r="BT26" s="63"/>
      <c r="BU26" s="63"/>
      <c r="BY26" s="63"/>
    </row>
    <row r="27" spans="1:77" x14ac:dyDescent="0.3">
      <c r="A27" s="118" t="s">
        <v>67</v>
      </c>
      <c r="C27" s="118">
        <f>SQRT(C16)</f>
        <v>1.5297058540778354</v>
      </c>
      <c r="E27" s="118">
        <f>SQRT(E16)</f>
        <v>1.5388307249337076</v>
      </c>
      <c r="G27" s="63">
        <f>SQRT(G16)</f>
        <v>7.6078750409073841</v>
      </c>
      <c r="I27" s="118">
        <f>SQRT(I16)</f>
        <v>1.0193134944657605</v>
      </c>
      <c r="K27" s="63">
        <f>SQRT(K16)</f>
        <v>7.9456752305403224</v>
      </c>
      <c r="M27" s="118">
        <f>SQRT(M16)</f>
        <v>1.0193134944657605</v>
      </c>
      <c r="O27" s="266">
        <f>SQRT(O16)</f>
        <v>1.0193134944657605</v>
      </c>
      <c r="Q27" s="63">
        <f>SQRT(Q16)</f>
        <v>1.6361540269791228</v>
      </c>
      <c r="S27" s="63">
        <f>SQRT(S16)</f>
        <v>1.6361540269791228</v>
      </c>
      <c r="U27" s="118">
        <f>SQRT(U16)</f>
        <v>7.2824869389039533</v>
      </c>
      <c r="AA27" s="63"/>
      <c r="AD27" s="63"/>
      <c r="AE27" s="63"/>
      <c r="AH27" s="63"/>
      <c r="AI27" s="63"/>
      <c r="AL27" s="63"/>
      <c r="AM27" s="63"/>
      <c r="AP27" s="63"/>
      <c r="AQ27" s="63"/>
      <c r="AR27" s="63"/>
      <c r="AS27" s="63"/>
      <c r="AW27" s="63"/>
      <c r="AY27" s="63"/>
      <c r="BC27" s="63"/>
      <c r="BG27" s="63"/>
      <c r="BK27" s="63"/>
      <c r="BP27" s="63"/>
      <c r="BQ27" s="63"/>
      <c r="BT27" s="63"/>
      <c r="BU27" s="63"/>
      <c r="BY27" s="63"/>
    </row>
    <row r="28" spans="1:77" x14ac:dyDescent="0.3">
      <c r="A28" s="129" t="s">
        <v>68</v>
      </c>
      <c r="C28" s="118">
        <f>C27*C21</f>
        <v>0.18105187084254276</v>
      </c>
      <c r="E28" s="118">
        <f>E27*E21</f>
        <v>0.19061898152749768</v>
      </c>
      <c r="G28" s="118">
        <f>G27*G21</f>
        <v>0.87300735383456263</v>
      </c>
      <c r="I28" s="118">
        <f>I27*I21</f>
        <v>0.132125533928735</v>
      </c>
      <c r="K28" s="118">
        <f>K27*K21</f>
        <v>0.91071951188791578</v>
      </c>
      <c r="M28" s="118">
        <f>M27*M21</f>
        <v>0.10385003606347287</v>
      </c>
      <c r="O28" s="266">
        <f>O27*O21</f>
        <v>9.5395932444615708E-2</v>
      </c>
      <c r="Q28" s="118">
        <f>Q27*Q21</f>
        <v>0.19356978883697379</v>
      </c>
      <c r="S28" s="118">
        <f>S27*S21</f>
        <v>0.17690590089079475</v>
      </c>
      <c r="U28" s="118">
        <f>U27*U21</f>
        <v>0.84756531449016503</v>
      </c>
      <c r="W28" s="118"/>
      <c r="AD28" s="63"/>
      <c r="AH28" s="63"/>
      <c r="AL28" s="63"/>
      <c r="AP28" s="63"/>
      <c r="AR28" s="63"/>
      <c r="BP28" s="63"/>
      <c r="BT28" s="63"/>
    </row>
    <row r="29" spans="1:77" x14ac:dyDescent="0.3">
      <c r="A29" s="139" t="s">
        <v>69</v>
      </c>
      <c r="C29" s="139">
        <f>SUM(B28:G28,K28,Q28:U28)/SUM(B27:G27,K27,Q27:U27)</f>
        <v>0.11562026197404053</v>
      </c>
      <c r="E29" s="139"/>
      <c r="I29" s="139"/>
      <c r="M29" s="139"/>
      <c r="O29" s="272"/>
      <c r="U29" s="139"/>
      <c r="Y29" s="139"/>
      <c r="AA29" s="63"/>
      <c r="AC29" s="139"/>
      <c r="AD29" s="63"/>
      <c r="AE29" s="63"/>
      <c r="AG29" s="139"/>
      <c r="AH29" s="63"/>
      <c r="AI29" s="63"/>
      <c r="AK29" s="139"/>
      <c r="AL29" s="63"/>
      <c r="AM29" s="63"/>
      <c r="AO29" s="139"/>
      <c r="AP29" s="63"/>
      <c r="AQ29" s="63"/>
      <c r="AR29" s="63"/>
      <c r="AS29" s="63"/>
      <c r="AU29" s="139"/>
      <c r="AW29" s="63"/>
      <c r="AY29" s="63"/>
      <c r="BA29" s="139"/>
      <c r="BC29" s="63"/>
      <c r="BE29" s="139"/>
      <c r="BG29" s="63"/>
      <c r="BI29" s="139"/>
      <c r="BK29" s="63"/>
      <c r="BM29" s="139"/>
      <c r="BO29" s="139"/>
      <c r="BP29" s="63"/>
      <c r="BQ29" s="63"/>
      <c r="BS29" s="139"/>
      <c r="BT29" s="63"/>
      <c r="BU29" s="63"/>
      <c r="BW29" s="139"/>
      <c r="BY29" s="63"/>
    </row>
    <row r="30" spans="1:77" x14ac:dyDescent="0.3">
      <c r="A30" s="118" t="s">
        <v>72</v>
      </c>
      <c r="C30" s="139">
        <f>C21-$C$29</f>
        <v>2.7370485898833286E-3</v>
      </c>
      <c r="E30" s="139">
        <f>E21-$C29</f>
        <v>8.2523501585963915E-3</v>
      </c>
      <c r="G30" s="139">
        <f>G21-$C29</f>
        <v>-8.6977657037387579E-4</v>
      </c>
      <c r="I30" s="139">
        <f>I21-$C$29</f>
        <v>1.4001816656424595E-2</v>
      </c>
      <c r="K30" s="75">
        <f>K21-$C$29</f>
        <v>-1.0019966329859464E-3</v>
      </c>
      <c r="M30" s="139">
        <f>M21-$C29</f>
        <v>-1.3737929769753923E-2</v>
      </c>
      <c r="O30" s="272">
        <f>O21-$C29</f>
        <v>-2.2031848828765396E-2</v>
      </c>
      <c r="Q30" s="75">
        <f>Q21-$C$29</f>
        <v>2.6875413532336939E-3</v>
      </c>
      <c r="S30" s="75">
        <f>S21-$C$29</f>
        <v>-7.4972503420482339E-3</v>
      </c>
      <c r="U30" s="139">
        <f>U21-$C29</f>
        <v>7.6378671712366841E-4</v>
      </c>
      <c r="W30" s="139"/>
      <c r="Y30" s="139"/>
      <c r="AA30" s="139"/>
      <c r="AC30" s="139"/>
      <c r="AD30" s="63"/>
      <c r="AE30" s="139"/>
      <c r="AG30" s="139"/>
      <c r="AH30" s="63"/>
      <c r="AI30" s="139"/>
      <c r="AK30" s="139"/>
      <c r="AL30" s="63"/>
      <c r="AM30" s="139"/>
      <c r="AO30" s="139"/>
      <c r="AP30" s="63"/>
      <c r="AQ30" s="139"/>
      <c r="AR30" s="63"/>
      <c r="AS30" s="139"/>
      <c r="AU30" s="139"/>
      <c r="AW30" s="139"/>
      <c r="AY30" s="75"/>
      <c r="BA30" s="139"/>
      <c r="BC30" s="75"/>
      <c r="BE30" s="139"/>
      <c r="BG30" s="75"/>
      <c r="BI30" s="139"/>
      <c r="BK30" s="75"/>
      <c r="BM30" s="139"/>
      <c r="BO30" s="139"/>
      <c r="BP30" s="63"/>
      <c r="BQ30" s="75"/>
      <c r="BS30" s="139"/>
      <c r="BT30" s="63"/>
      <c r="BU30" s="75"/>
      <c r="BW30" s="139"/>
      <c r="BY30" s="75"/>
    </row>
    <row r="31" spans="1:77" x14ac:dyDescent="0.3">
      <c r="A31" s="129" t="s">
        <v>119</v>
      </c>
      <c r="C31" s="118">
        <f>C27*C24</f>
        <v>279.15220207073776</v>
      </c>
      <c r="E31" s="118">
        <f>E27*E24</f>
        <v>279.6468119809166</v>
      </c>
      <c r="G31" s="63">
        <f>G27*G24</f>
        <v>1386.7060209670851</v>
      </c>
      <c r="I31" s="118">
        <f>I27*I24</f>
        <v>199.39436936636125</v>
      </c>
      <c r="K31" s="63">
        <f>K27*K24</f>
        <v>2170.1397469252352</v>
      </c>
      <c r="M31" s="118">
        <f>M27*M24</f>
        <v>275.95881118685776</v>
      </c>
      <c r="O31" s="266">
        <f>O27*O24</f>
        <v>279.57203946977523</v>
      </c>
      <c r="Q31" s="63">
        <f>Q27*Q24</f>
        <v>449.79510355683061</v>
      </c>
      <c r="S31" s="63">
        <f>S27*S24</f>
        <v>299.86354901160678</v>
      </c>
      <c r="U31" s="118">
        <f>U27*U24</f>
        <v>1333.7507606627833</v>
      </c>
      <c r="AA31" s="63"/>
      <c r="AD31" s="63"/>
      <c r="AE31" s="63"/>
      <c r="AH31" s="63"/>
      <c r="AI31" s="63"/>
      <c r="AL31" s="63"/>
      <c r="AM31" s="63"/>
      <c r="AP31" s="63"/>
      <c r="AQ31" s="63"/>
      <c r="AR31" s="63"/>
      <c r="AS31" s="63"/>
      <c r="AW31" s="63"/>
      <c r="AY31" s="63"/>
      <c r="BC31" s="63"/>
      <c r="BG31" s="63"/>
      <c r="BK31" s="63"/>
      <c r="BP31" s="63"/>
      <c r="BQ31" s="63"/>
      <c r="BT31" s="63"/>
      <c r="BU31" s="63"/>
      <c r="BY31" s="63"/>
    </row>
    <row r="32" spans="1:77" x14ac:dyDescent="0.3">
      <c r="A32" s="261" t="s">
        <v>120</v>
      </c>
      <c r="C32" s="139">
        <f>MOD(SUM(B31:G31)/SUM(B27:G27),360)</f>
        <v>182.2246185590129</v>
      </c>
      <c r="E32" s="139"/>
      <c r="I32" s="139"/>
      <c r="M32" s="139"/>
      <c r="O32" s="272"/>
      <c r="U32" s="139">
        <f>SUM(T31:U31,X31:Y31)/SUM(T27:U27,X27:Y27)</f>
        <v>183.144957464698</v>
      </c>
      <c r="Y32" s="139"/>
      <c r="AA32" s="63"/>
      <c r="AC32" s="139"/>
      <c r="AD32" s="63"/>
      <c r="AE32" s="63"/>
      <c r="AG32" s="139"/>
      <c r="AH32" s="63"/>
      <c r="AI32" s="63"/>
      <c r="AK32" s="139"/>
      <c r="AL32" s="63"/>
      <c r="AM32" s="139"/>
      <c r="AO32" s="139"/>
      <c r="AP32" s="63"/>
      <c r="AQ32" s="63"/>
      <c r="AR32" s="63"/>
      <c r="AS32" s="63"/>
      <c r="AU32" s="139"/>
      <c r="AW32" s="63"/>
      <c r="AY32" s="139"/>
      <c r="BC32" s="139"/>
      <c r="BE32" s="139"/>
      <c r="BG32" s="139"/>
      <c r="BI32" s="139"/>
      <c r="BK32" s="63"/>
      <c r="BM32" s="139"/>
      <c r="BO32" s="139"/>
      <c r="BP32" s="63"/>
      <c r="BQ32" s="63"/>
      <c r="BS32" s="139"/>
      <c r="BT32" s="63"/>
      <c r="BU32" s="63"/>
      <c r="BW32" s="139"/>
      <c r="BY32" s="63"/>
    </row>
    <row r="33" spans="1:77" x14ac:dyDescent="0.3">
      <c r="A33" s="118" t="s">
        <v>121</v>
      </c>
      <c r="C33" s="139">
        <f>C24-$C$32</f>
        <v>0.26288472574196931</v>
      </c>
      <c r="E33" s="139">
        <f>E24-$E32</f>
        <v>181.72681858361238</v>
      </c>
      <c r="G33" s="139">
        <f>G24-$E32</f>
        <v>182.27244973278295</v>
      </c>
      <c r="I33" s="139">
        <f>I24-$C$32</f>
        <v>13.391715815984497</v>
      </c>
      <c r="K33" s="75">
        <f>K24-$C$32</f>
        <v>90.89751190310281</v>
      </c>
      <c r="M33" s="139">
        <f>M24-$E32</f>
        <v>270.73006752597979</v>
      </c>
      <c r="O33" s="272">
        <f>O24-$C32</f>
        <v>92.05021542256182</v>
      </c>
      <c r="Q33" s="75">
        <f>Q24-$C$32</f>
        <v>92.685381440987072</v>
      </c>
      <c r="S33" s="75">
        <f>S24-$C$32</f>
        <v>1.04880439937034</v>
      </c>
      <c r="U33" s="139">
        <f>U24-$U32</f>
        <v>0</v>
      </c>
      <c r="W33" s="139"/>
      <c r="Y33" s="139"/>
      <c r="AA33" s="139"/>
      <c r="AC33" s="139"/>
      <c r="AD33" s="63"/>
      <c r="AE33" s="139"/>
      <c r="AG33" s="139"/>
      <c r="AH33" s="63"/>
      <c r="AI33" s="139"/>
      <c r="AK33" s="139"/>
      <c r="AL33" s="63"/>
      <c r="AM33" s="139"/>
      <c r="AO33" s="139"/>
      <c r="AP33" s="63"/>
      <c r="AQ33" s="139"/>
      <c r="AR33" s="63"/>
      <c r="AS33" s="139"/>
      <c r="AU33" s="139"/>
      <c r="AW33" s="139"/>
      <c r="AY33" s="75"/>
      <c r="BA33" s="139"/>
      <c r="BC33" s="75"/>
      <c r="BE33" s="139"/>
      <c r="BG33" s="75"/>
      <c r="BI33" s="139"/>
      <c r="BK33" s="75"/>
      <c r="BM33" s="139"/>
      <c r="BO33" s="139"/>
      <c r="BP33" s="63"/>
      <c r="BQ33" s="75"/>
      <c r="BS33" s="139"/>
      <c r="BT33" s="63"/>
      <c r="BU33" s="75"/>
      <c r="BW33" s="139"/>
      <c r="BY33" s="75"/>
    </row>
    <row r="34" spans="1:77" s="164" customFormat="1" ht="75.75" customHeight="1" x14ac:dyDescent="0.3">
      <c r="A34" s="251" t="s">
        <v>40</v>
      </c>
      <c r="B34" s="384"/>
      <c r="C34" s="384"/>
      <c r="D34" s="384"/>
      <c r="E34" s="384"/>
      <c r="F34" s="65"/>
      <c r="G34" s="65"/>
      <c r="H34" s="384"/>
      <c r="I34" s="384"/>
      <c r="J34" s="65"/>
      <c r="K34" s="65"/>
      <c r="L34" s="384"/>
      <c r="M34" s="384"/>
      <c r="N34" s="273"/>
      <c r="O34" s="273"/>
      <c r="P34" s="65"/>
      <c r="Q34" s="65"/>
      <c r="R34" s="65"/>
      <c r="S34" s="65"/>
      <c r="T34" s="384"/>
      <c r="U34" s="384"/>
      <c r="V34" s="65"/>
      <c r="W34" s="65"/>
      <c r="AD34" s="65"/>
      <c r="AE34" s="65"/>
      <c r="AH34" s="65"/>
      <c r="AI34" s="65"/>
      <c r="AL34" s="65"/>
      <c r="AM34" s="65"/>
      <c r="AP34" s="65"/>
      <c r="AQ34" s="65"/>
      <c r="AR34" s="65"/>
      <c r="AS34" s="65"/>
    </row>
    <row r="35" spans="1:77" s="127" customFormat="1" x14ac:dyDescent="0.3">
      <c r="A35" s="120" t="s">
        <v>54</v>
      </c>
      <c r="B35" s="120"/>
      <c r="C35" s="120"/>
      <c r="D35" s="120"/>
      <c r="E35" s="120"/>
      <c r="F35" s="67"/>
      <c r="G35" s="67"/>
      <c r="H35" s="120"/>
      <c r="I35" s="120"/>
      <c r="J35" s="67"/>
      <c r="K35" s="67"/>
      <c r="L35" s="120"/>
      <c r="M35" s="120"/>
      <c r="N35" s="264"/>
      <c r="O35" s="264"/>
      <c r="P35" s="67"/>
      <c r="Q35" s="67"/>
      <c r="R35" s="67"/>
      <c r="S35" s="67"/>
      <c r="T35" s="120"/>
      <c r="U35" s="120"/>
      <c r="V35" s="67"/>
      <c r="W35" s="67"/>
      <c r="AD35" s="67"/>
      <c r="AE35" s="67"/>
      <c r="AH35" s="67"/>
      <c r="AI35" s="67"/>
      <c r="AL35" s="67"/>
      <c r="AM35" s="67"/>
      <c r="AP35" s="67"/>
      <c r="AQ35" s="67"/>
      <c r="AR35" s="67"/>
      <c r="AS35" s="67"/>
    </row>
    <row r="36" spans="1:77" x14ac:dyDescent="0.3">
      <c r="A36" s="139" t="s">
        <v>42</v>
      </c>
      <c r="C36" s="147">
        <f>C8*$C29</f>
        <v>2.2858867925452913</v>
      </c>
      <c r="E36" s="147">
        <f>E8*$C29</f>
        <v>2.2102446670081348</v>
      </c>
      <c r="I36" s="147">
        <f>I8*$C29</f>
        <v>0.9267669015978427</v>
      </c>
      <c r="M36" s="147">
        <f>M8*$C29</f>
        <v>1.179099943944685</v>
      </c>
      <c r="O36" s="274">
        <f>O8*$C29</f>
        <v>1.2835932158028358</v>
      </c>
      <c r="Q36" s="166">
        <f>Q8*$C29</f>
        <v>2.6161878811010939</v>
      </c>
      <c r="S36" s="166">
        <f>S8*$C29</f>
        <v>2.8626231977145986</v>
      </c>
      <c r="U36" s="141"/>
      <c r="W36" s="166"/>
      <c r="Z36" s="63"/>
      <c r="AA36" s="166"/>
      <c r="AD36" s="63"/>
      <c r="AE36" s="166"/>
      <c r="AH36" s="63"/>
      <c r="AI36" s="166"/>
      <c r="AL36" s="63"/>
      <c r="AM36" s="166"/>
      <c r="AP36" s="63"/>
      <c r="AQ36" s="166"/>
      <c r="AR36" s="63"/>
      <c r="AS36" s="166"/>
      <c r="AV36" s="63"/>
      <c r="AW36" s="166"/>
      <c r="BA36" s="147"/>
      <c r="BE36" s="147"/>
      <c r="BI36" s="147"/>
      <c r="BM36" s="147"/>
      <c r="BO36" s="147"/>
      <c r="BS36" s="147"/>
      <c r="BW36" s="147"/>
    </row>
    <row r="37" spans="1:77" x14ac:dyDescent="0.3">
      <c r="A37" s="118" t="s">
        <v>50</v>
      </c>
      <c r="C37" s="141">
        <f>C36-C16</f>
        <v>-5.4113207454708601E-2</v>
      </c>
      <c r="E37" s="141">
        <f>E36-E16</f>
        <v>-0.15775533299186506</v>
      </c>
      <c r="I37" s="141">
        <f>I36-I16</f>
        <v>-0.11223309840215723</v>
      </c>
      <c r="M37" s="141">
        <f>M36-M16</f>
        <v>0.14009994394468506</v>
      </c>
      <c r="O37" s="269">
        <f>O36-O16</f>
        <v>0.24459321580283588</v>
      </c>
      <c r="Q37" s="141">
        <f>Q36-Q16</f>
        <v>-6.0812118898906142E-2</v>
      </c>
      <c r="S37" s="141">
        <f>S36-S16</f>
        <v>0.18562319771459856</v>
      </c>
      <c r="U37" s="141"/>
      <c r="W37" s="141"/>
      <c r="Z37" s="63"/>
      <c r="AA37" s="141"/>
      <c r="AD37" s="63"/>
      <c r="AE37" s="141"/>
      <c r="AH37" s="63"/>
      <c r="AI37" s="141"/>
      <c r="AL37" s="63"/>
      <c r="AM37" s="141"/>
      <c r="AP37" s="63"/>
      <c r="AQ37" s="141"/>
      <c r="AR37" s="63"/>
      <c r="AS37" s="141"/>
      <c r="AV37" s="63"/>
      <c r="AW37" s="141"/>
      <c r="BA37" s="141"/>
      <c r="BE37" s="141"/>
      <c r="BI37" s="141"/>
      <c r="BM37" s="141"/>
      <c r="BO37" s="141"/>
      <c r="BS37" s="141"/>
      <c r="BW37" s="141"/>
    </row>
    <row r="38" spans="1:77" x14ac:dyDescent="0.3">
      <c r="A38" s="118" t="s">
        <v>51</v>
      </c>
      <c r="C38" s="142">
        <f>C37/C16</f>
        <v>-2.3125302331072052E-2</v>
      </c>
      <c r="E38" s="142">
        <f>E37/E16</f>
        <v>-6.6619650756699775E-2</v>
      </c>
      <c r="I38" s="142">
        <f>I37/I16</f>
        <v>-0.10802030645058444</v>
      </c>
      <c r="M38" s="142">
        <f>M37/M16</f>
        <v>0.13484113950402798</v>
      </c>
      <c r="O38" s="275">
        <f>O37/O16</f>
        <v>0.23541214225489498</v>
      </c>
      <c r="Q38" s="142">
        <f>Q37/Q16</f>
        <v>-2.2716518079531619E-2</v>
      </c>
      <c r="S38" s="142">
        <f>S37/S16</f>
        <v>6.9340006617332292E-2</v>
      </c>
      <c r="U38" s="142"/>
      <c r="W38" s="142"/>
      <c r="Z38" s="63"/>
      <c r="AA38" s="142"/>
      <c r="AD38" s="63"/>
      <c r="AE38" s="142"/>
      <c r="AH38" s="63"/>
      <c r="AI38" s="142"/>
      <c r="AL38" s="63"/>
      <c r="AM38" s="142"/>
      <c r="AP38" s="63"/>
      <c r="AQ38" s="142"/>
      <c r="AR38" s="63"/>
      <c r="AS38" s="142"/>
      <c r="AV38" s="63"/>
      <c r="AW38" s="142"/>
      <c r="BA38" s="142"/>
      <c r="BE38" s="142"/>
      <c r="BI38" s="142"/>
      <c r="BM38" s="142"/>
      <c r="BO38" s="142"/>
      <c r="BS38" s="142"/>
      <c r="BW38" s="142"/>
    </row>
    <row r="39" spans="1:77" x14ac:dyDescent="0.3">
      <c r="A39" s="74" t="s">
        <v>53</v>
      </c>
      <c r="B39" s="118">
        <f>AVERAGE(B37:C37)</f>
        <v>-5.4113207454708601E-2</v>
      </c>
      <c r="C39" s="142">
        <f>AVERAGE(C38:C38)</f>
        <v>-2.3125302331072052E-2</v>
      </c>
      <c r="E39" s="142">
        <f>AVERAGE(E38:I38)</f>
        <v>-8.7319978603642101E-2</v>
      </c>
      <c r="H39" s="118">
        <f>AVERAGE(H37:K37)</f>
        <v>-0.11223309840215723</v>
      </c>
      <c r="I39" s="142">
        <f>AVERAGE(I38:K38)</f>
        <v>-0.10802030645058444</v>
      </c>
      <c r="M39" s="142">
        <f>AVERAGE(M38:O38)</f>
        <v>0.18512664087946148</v>
      </c>
      <c r="O39" s="275"/>
      <c r="Q39" s="142"/>
      <c r="S39" s="142"/>
      <c r="U39" s="142"/>
      <c r="W39" s="142"/>
      <c r="Z39" s="63"/>
      <c r="AA39" s="142"/>
      <c r="AD39" s="63"/>
      <c r="AE39" s="142"/>
      <c r="AH39" s="63"/>
      <c r="AI39" s="142"/>
      <c r="AL39" s="63"/>
      <c r="AM39" s="142"/>
      <c r="AP39" s="63"/>
      <c r="AQ39" s="142"/>
      <c r="AR39" s="63"/>
      <c r="AS39" s="142"/>
      <c r="AV39" s="63"/>
      <c r="AW39" s="142"/>
      <c r="BA39" s="142"/>
      <c r="BE39" s="142"/>
      <c r="BI39" s="142"/>
      <c r="BM39" s="142"/>
      <c r="BO39" s="142"/>
      <c r="BS39" s="142"/>
      <c r="BW39" s="142"/>
    </row>
    <row r="40" spans="1:77" x14ac:dyDescent="0.3">
      <c r="A40" s="74" t="s">
        <v>52</v>
      </c>
      <c r="B40" s="118">
        <f>STDEV(B37:E37)</f>
        <v>7.3286049783910789E-2</v>
      </c>
      <c r="C40" s="142">
        <f>STDEV(C38:E38)</f>
        <v>3.0755148715051778E-2</v>
      </c>
      <c r="E40" s="142">
        <f>STDEV(E38:I38)</f>
        <v>2.9274684386715343E-2</v>
      </c>
      <c r="H40" s="118">
        <f>STDEV(H37:M37)</f>
        <v>0.17842640536088444</v>
      </c>
      <c r="I40" s="142">
        <f>STDEV(I38:M38)</f>
        <v>0.17172897532327669</v>
      </c>
      <c r="M40" s="142">
        <f>STDEV(M38:O38)</f>
        <v>7.1114438035869046E-2</v>
      </c>
      <c r="O40" s="275"/>
      <c r="Q40" s="142"/>
      <c r="S40" s="142"/>
      <c r="U40" s="142"/>
      <c r="W40" s="142"/>
      <c r="Z40" s="63"/>
      <c r="AA40" s="142"/>
      <c r="AD40" s="63"/>
      <c r="AE40" s="142"/>
      <c r="AH40" s="63"/>
      <c r="AI40" s="142"/>
      <c r="AL40" s="63"/>
      <c r="AM40" s="142"/>
      <c r="AP40" s="63"/>
      <c r="AQ40" s="142"/>
      <c r="AR40" s="63"/>
      <c r="AS40" s="142"/>
      <c r="AV40" s="63"/>
      <c r="AW40" s="142"/>
      <c r="BA40" s="142"/>
      <c r="BE40" s="142"/>
      <c r="BI40" s="142"/>
      <c r="BM40" s="142"/>
      <c r="BO40" s="142"/>
      <c r="BS40" s="142"/>
      <c r="BW40" s="142"/>
    </row>
    <row r="41" spans="1:77" x14ac:dyDescent="0.3">
      <c r="C41" s="142"/>
      <c r="E41" s="142"/>
      <c r="I41" s="142"/>
      <c r="M41" s="142"/>
      <c r="O41" s="275"/>
      <c r="Q41" s="142"/>
      <c r="S41" s="142"/>
      <c r="U41" s="142"/>
      <c r="W41" s="142"/>
      <c r="Z41" s="63"/>
      <c r="AA41" s="142"/>
      <c r="AD41" s="63"/>
      <c r="AE41" s="142"/>
      <c r="AH41" s="63"/>
      <c r="AI41" s="142"/>
      <c r="AL41" s="63"/>
      <c r="AM41" s="142"/>
      <c r="AP41" s="63"/>
      <c r="AQ41" s="142"/>
      <c r="AR41" s="63"/>
      <c r="AS41" s="142"/>
      <c r="AV41" s="63"/>
      <c r="AW41" s="142"/>
      <c r="BA41" s="142"/>
      <c r="BE41" s="142"/>
      <c r="BI41" s="142"/>
      <c r="BM41" s="142"/>
      <c r="BO41" s="142"/>
      <c r="BS41" s="142"/>
      <c r="BW41" s="142"/>
    </row>
    <row r="42" spans="1:77" x14ac:dyDescent="0.3">
      <c r="A42" s="139" t="s">
        <v>43</v>
      </c>
      <c r="C42" s="141">
        <f>MOD(C9-$C32,360)</f>
        <v>347.97288472574195</v>
      </c>
      <c r="E42" s="141">
        <f>MOD(E9-$C32,360)</f>
        <v>77.862200024599503</v>
      </c>
      <c r="G42" s="141"/>
      <c r="I42" s="141">
        <f>MOD(I9-$C32,360)</f>
        <v>271.35171581598445</v>
      </c>
      <c r="K42" s="141"/>
      <c r="M42" s="141">
        <f>MOD(M9-$K24,360)</f>
        <v>255.56793706386406</v>
      </c>
      <c r="O42" s="276">
        <f>MOD(O9-270,360)</f>
        <v>262.23483398157464</v>
      </c>
      <c r="Q42" s="167">
        <f>MOD(Q9-$K24,360)</f>
        <v>221.87786953788429</v>
      </c>
      <c r="S42" s="167">
        <f>MOD(S9-$U24,360)</f>
        <v>220.21846549368524</v>
      </c>
      <c r="U42" s="141"/>
      <c r="W42" s="167"/>
      <c r="Z42" s="63"/>
      <c r="AA42" s="167"/>
      <c r="AD42" s="63"/>
      <c r="AE42" s="167"/>
      <c r="AH42" s="63"/>
      <c r="AI42" s="167"/>
      <c r="AL42" s="63"/>
      <c r="AM42" s="167"/>
      <c r="AP42" s="63"/>
      <c r="AQ42" s="167"/>
      <c r="AR42" s="63"/>
      <c r="AS42" s="167"/>
      <c r="AV42" s="63"/>
      <c r="AW42" s="167"/>
      <c r="BA42" s="141"/>
      <c r="BE42" s="141"/>
      <c r="BI42" s="141"/>
      <c r="BM42" s="141"/>
      <c r="BO42" s="141"/>
      <c r="BS42" s="141"/>
      <c r="BW42" s="141"/>
    </row>
    <row r="43" spans="1:77" x14ac:dyDescent="0.3">
      <c r="A43" s="118" t="s">
        <v>55</v>
      </c>
      <c r="C43" s="141">
        <f>C42-C17</f>
        <v>0.26288472574196931</v>
      </c>
      <c r="E43" s="141">
        <f>E42-E17</f>
        <v>-0.49779997540049692</v>
      </c>
      <c r="G43" s="141"/>
      <c r="I43" s="141">
        <f>I42-I17</f>
        <v>13.391715815984469</v>
      </c>
      <c r="K43" s="141"/>
      <c r="M43" s="141">
        <f>M42-M17</f>
        <v>-2.3920629361359147</v>
      </c>
      <c r="O43" s="269">
        <f>O42-O17</f>
        <v>4.274833981574659</v>
      </c>
      <c r="Q43" s="141">
        <f>Q42-Q17</f>
        <v>1.7878695378842906</v>
      </c>
      <c r="S43" s="141">
        <f>S42-S17</f>
        <v>0.12846549368524052</v>
      </c>
      <c r="U43" s="141"/>
      <c r="W43" s="141"/>
      <c r="Z43" s="63"/>
      <c r="AA43" s="141"/>
      <c r="AD43" s="63"/>
      <c r="AE43" s="141"/>
      <c r="AH43" s="63"/>
      <c r="AI43" s="141"/>
      <c r="AL43" s="63"/>
      <c r="AM43" s="141"/>
      <c r="AP43" s="63"/>
      <c r="AQ43" s="141"/>
      <c r="AR43" s="63"/>
      <c r="AS43" s="141"/>
      <c r="AV43" s="63"/>
      <c r="AW43" s="141"/>
      <c r="BA43" s="141"/>
      <c r="BE43" s="141"/>
      <c r="BI43" s="141"/>
      <c r="BM43" s="141"/>
      <c r="BO43" s="141"/>
      <c r="BS43" s="141"/>
      <c r="BW43" s="141"/>
    </row>
    <row r="44" spans="1:77" x14ac:dyDescent="0.3">
      <c r="A44" s="118" t="s">
        <v>56</v>
      </c>
      <c r="B44" s="118">
        <f>AVERAGE(B43:E43)</f>
        <v>-0.11745762482926381</v>
      </c>
      <c r="C44" s="141"/>
      <c r="E44" s="141"/>
      <c r="G44" s="101"/>
      <c r="H44" s="118">
        <f>AVERAGE(H43:M43)</f>
        <v>5.4998264399242771</v>
      </c>
      <c r="I44" s="141"/>
      <c r="K44" s="101"/>
      <c r="M44" s="141"/>
      <c r="O44" s="269"/>
      <c r="Q44" s="101"/>
      <c r="S44" s="101"/>
      <c r="U44" s="141"/>
      <c r="W44" s="101"/>
      <c r="Z44" s="63"/>
      <c r="AA44" s="101"/>
      <c r="AD44" s="63"/>
      <c r="AE44" s="101"/>
      <c r="AH44" s="63"/>
      <c r="AI44" s="101"/>
      <c r="AL44" s="63"/>
      <c r="AM44" s="101"/>
      <c r="AP44" s="63"/>
      <c r="AQ44" s="101"/>
      <c r="AR44" s="63"/>
      <c r="AS44" s="101"/>
      <c r="AV44" s="63"/>
      <c r="AW44" s="101"/>
      <c r="BA44" s="141"/>
      <c r="BE44" s="141"/>
      <c r="BI44" s="141"/>
      <c r="BM44" s="141"/>
      <c r="BO44" s="141"/>
      <c r="BS44" s="141"/>
      <c r="BW44" s="141"/>
    </row>
    <row r="45" spans="1:77" x14ac:dyDescent="0.3">
      <c r="A45" s="118" t="s">
        <v>57</v>
      </c>
      <c r="B45" s="118">
        <f>STDEV(B43:E43)</f>
        <v>0.53788531052270017</v>
      </c>
      <c r="C45" s="141"/>
      <c r="E45" s="141"/>
      <c r="H45" s="118">
        <f>STDEV(H43:M43)</f>
        <v>11.160816988372465</v>
      </c>
      <c r="I45" s="141"/>
      <c r="M45" s="141"/>
      <c r="O45" s="269"/>
      <c r="U45" s="141"/>
      <c r="Z45" s="63"/>
      <c r="AA45" s="63"/>
      <c r="AD45" s="63"/>
      <c r="AE45" s="63"/>
      <c r="AH45" s="63"/>
      <c r="AI45" s="63"/>
      <c r="AL45" s="63"/>
      <c r="AM45" s="63"/>
      <c r="AP45" s="63"/>
      <c r="AQ45" s="63"/>
      <c r="AR45" s="63"/>
      <c r="AS45" s="63"/>
      <c r="AV45" s="63"/>
      <c r="AW45" s="63"/>
      <c r="BA45" s="141"/>
      <c r="BE45" s="141"/>
      <c r="BI45" s="141"/>
      <c r="BM45" s="141"/>
      <c r="BO45" s="141"/>
      <c r="BS45" s="141"/>
      <c r="BW45" s="141"/>
    </row>
    <row r="46" spans="1:77" x14ac:dyDescent="0.3">
      <c r="C46" s="141"/>
      <c r="E46" s="141"/>
      <c r="I46" s="141"/>
      <c r="M46" s="141"/>
      <c r="O46" s="269"/>
      <c r="U46" s="141"/>
      <c r="Z46" s="63"/>
      <c r="AA46" s="63"/>
      <c r="AD46" s="63"/>
      <c r="AE46" s="63"/>
      <c r="AH46" s="63"/>
      <c r="AI46" s="63"/>
      <c r="AL46" s="63"/>
      <c r="AM46" s="63"/>
      <c r="AP46" s="63"/>
      <c r="AQ46" s="63"/>
      <c r="AR46" s="63"/>
      <c r="AS46" s="63"/>
      <c r="AV46" s="63"/>
      <c r="AW46" s="63"/>
      <c r="BA46" s="141"/>
      <c r="BE46" s="141"/>
      <c r="BI46" s="141"/>
      <c r="BM46" s="141"/>
      <c r="BO46" s="141"/>
      <c r="BS46" s="141"/>
      <c r="BW46" s="141"/>
    </row>
    <row r="47" spans="1:77" x14ac:dyDescent="0.3">
      <c r="A47" s="118" t="s">
        <v>44</v>
      </c>
      <c r="B47" s="72">
        <f>-C36*SIN((C42)/180*PI())</f>
        <v>0.47632069270194716</v>
      </c>
      <c r="C47" s="72">
        <f>C36*COS((C42)/180*PI())</f>
        <v>2.2357095128922579</v>
      </c>
      <c r="D47" s="72">
        <f>-E36*SIN((E42)/180*PI())</f>
        <v>-2.1608340539827879</v>
      </c>
      <c r="E47" s="72">
        <f>E36*COS((E42)/180*PI())</f>
        <v>0.46473398755224565</v>
      </c>
      <c r="H47" s="72">
        <f>-I36*SIN((I42)/180*PI())</f>
        <v>0.9265090048283684</v>
      </c>
      <c r="I47" s="72">
        <f>I36*COS((I42)/180*PI())</f>
        <v>2.1862156097055253E-2</v>
      </c>
      <c r="L47" s="72">
        <f>-M36*SIN((M42)/180*PI())</f>
        <v>1.1418920794268501</v>
      </c>
      <c r="M47" s="72">
        <f>M36*COS((M42)/180*PI())</f>
        <v>-0.29386928514661659</v>
      </c>
      <c r="N47" s="270">
        <f>-O36*SIN((O42)/180*PI())</f>
        <v>1.2718228817144457</v>
      </c>
      <c r="O47" s="270">
        <f>O36*COS((O42)/180*PI())</f>
        <v>-0.17343039296106211</v>
      </c>
      <c r="P47" s="72">
        <f>-Q36*SIN((Q42)/180*PI())</f>
        <v>1.7464231802998889</v>
      </c>
      <c r="Q47" s="72">
        <f>Q36*COS((Q42)/180*PI())</f>
        <v>-1.9479335472575683</v>
      </c>
      <c r="R47" s="72">
        <f>-S36*SIN((S42)/180*PI())</f>
        <v>1.8484067144636769</v>
      </c>
      <c r="S47" s="72">
        <f>S36*COS((S42)/180*PI())</f>
        <v>-2.1858646321351531</v>
      </c>
      <c r="T47" s="72"/>
      <c r="U47" s="72"/>
      <c r="V47" s="72"/>
      <c r="W47" s="72"/>
      <c r="Z47" s="72"/>
      <c r="AA47" s="72"/>
      <c r="AD47" s="72"/>
      <c r="AE47" s="72"/>
      <c r="AH47" s="72"/>
      <c r="AI47" s="72"/>
      <c r="AL47" s="72"/>
      <c r="AM47" s="72"/>
      <c r="AP47" s="72"/>
      <c r="AQ47" s="72"/>
      <c r="AR47" s="72"/>
      <c r="AS47" s="72"/>
      <c r="AV47" s="72"/>
      <c r="AW47" s="72"/>
      <c r="AZ47" s="72"/>
      <c r="BA47" s="72"/>
      <c r="BD47" s="72"/>
      <c r="BE47" s="72"/>
      <c r="BH47" s="72"/>
      <c r="BI47" s="72"/>
      <c r="BL47" s="72"/>
      <c r="BM47" s="72"/>
      <c r="BN47" s="72"/>
      <c r="BO47" s="72"/>
      <c r="BR47" s="72"/>
      <c r="BS47" s="72"/>
      <c r="BV47" s="72"/>
      <c r="BW47" s="72"/>
    </row>
    <row r="48" spans="1:77" s="129" customFormat="1" x14ac:dyDescent="0.3">
      <c r="A48" s="118" t="s">
        <v>45</v>
      </c>
      <c r="B48" s="72">
        <f>B47-B18</f>
        <v>-2.1771371295217778E-2</v>
      </c>
      <c r="C48" s="72">
        <f>C47-C18</f>
        <v>-5.0664099574226906E-2</v>
      </c>
      <c r="D48" s="72">
        <f>D47-D18</f>
        <v>0.15846715464797523</v>
      </c>
      <c r="E48" s="72">
        <f>E47-E18</f>
        <v>-1.3037823717402919E-2</v>
      </c>
      <c r="F48" s="63"/>
      <c r="G48" s="63"/>
      <c r="H48" s="72">
        <f>H47-H18</f>
        <v>-8.9635294099023488E-2</v>
      </c>
      <c r="I48" s="72">
        <f>I47-I18</f>
        <v>0.23859185816245998</v>
      </c>
      <c r="J48" s="63"/>
      <c r="K48" s="63"/>
      <c r="L48" s="72">
        <f t="shared" ref="L48:S48" si="4">L47-L18</f>
        <v>0.12574778049945823</v>
      </c>
      <c r="M48" s="72">
        <f t="shared" si="4"/>
        <v>-7.7139583081211854E-2</v>
      </c>
      <c r="N48" s="270">
        <f t="shared" si="4"/>
        <v>0.2556785827870538</v>
      </c>
      <c r="O48" s="270">
        <f t="shared" si="4"/>
        <v>4.3299309104342626E-2</v>
      </c>
      <c r="P48" s="72">
        <f t="shared" si="4"/>
        <v>2.2461639816475198E-2</v>
      </c>
      <c r="Q48" s="72">
        <f t="shared" si="4"/>
        <v>0.10006196224289332</v>
      </c>
      <c r="R48" s="72">
        <f t="shared" si="4"/>
        <v>0.12444517398026322</v>
      </c>
      <c r="S48" s="72">
        <f t="shared" si="4"/>
        <v>-0.13786912263469153</v>
      </c>
      <c r="T48" s="72"/>
      <c r="U48" s="72"/>
      <c r="V48" s="72"/>
      <c r="W48" s="72"/>
      <c r="Z48" s="72"/>
      <c r="AA48" s="72"/>
      <c r="AD48" s="72"/>
      <c r="AE48" s="72"/>
      <c r="AH48" s="72"/>
      <c r="AI48" s="72"/>
      <c r="AL48" s="72"/>
      <c r="AM48" s="72"/>
      <c r="AP48" s="72"/>
      <c r="AQ48" s="72"/>
      <c r="AR48" s="72"/>
      <c r="AS48" s="72"/>
      <c r="AV48" s="72"/>
      <c r="AW48" s="72"/>
      <c r="AZ48" s="72"/>
      <c r="BA48" s="72"/>
      <c r="BD48" s="72"/>
      <c r="BE48" s="72"/>
      <c r="BH48" s="72"/>
      <c r="BI48" s="72"/>
      <c r="BL48" s="72"/>
      <c r="BM48" s="72"/>
      <c r="BN48" s="72"/>
      <c r="BO48" s="72"/>
      <c r="BR48" s="72"/>
      <c r="BS48" s="72"/>
      <c r="BV48" s="72"/>
      <c r="BW48" s="72"/>
    </row>
    <row r="49" spans="1:75" x14ac:dyDescent="0.3">
      <c r="A49" s="118" t="s">
        <v>46</v>
      </c>
      <c r="B49" s="118">
        <f>B48^2</f>
        <v>4.7399260807423263E-4</v>
      </c>
      <c r="C49" s="118">
        <f>C48^2</f>
        <v>2.5668509856671788E-3</v>
      </c>
      <c r="D49" s="118">
        <f>D48^2</f>
        <v>2.5111839102225298E-2</v>
      </c>
      <c r="E49" s="118">
        <f>E48^2</f>
        <v>1.6998484728607407E-4</v>
      </c>
      <c r="H49" s="118">
        <f>H48^2</f>
        <v>8.0344859482184353E-3</v>
      </c>
      <c r="I49" s="118">
        <f>I48^2</f>
        <v>5.6926074781415419E-2</v>
      </c>
      <c r="L49" s="118">
        <f t="shared" ref="L49:S49" si="5">L48^2</f>
        <v>1.5812504300539928E-2</v>
      </c>
      <c r="M49" s="118">
        <f t="shared" si="5"/>
        <v>5.9505152779431858E-3</v>
      </c>
      <c r="N49" s="266">
        <f t="shared" si="5"/>
        <v>6.5371537695996323E-2</v>
      </c>
      <c r="O49" s="266">
        <f t="shared" si="5"/>
        <v>1.8748301689134083E-3</v>
      </c>
      <c r="P49" s="118">
        <f t="shared" si="5"/>
        <v>5.0452526324506401E-4</v>
      </c>
      <c r="Q49" s="118">
        <f t="shared" si="5"/>
        <v>1.0012396287898209E-2</v>
      </c>
      <c r="R49" s="118">
        <f t="shared" si="5"/>
        <v>1.5486601326977984E-2</v>
      </c>
      <c r="S49" s="118">
        <f t="shared" si="5"/>
        <v>1.9007894976059612E-2</v>
      </c>
      <c r="V49" s="118"/>
      <c r="W49" s="118"/>
    </row>
    <row r="50" spans="1:75" s="129" customFormat="1" x14ac:dyDescent="0.3">
      <c r="A50" s="118" t="s">
        <v>47</v>
      </c>
      <c r="B50" s="72"/>
      <c r="C50" s="72">
        <f>SQRT(B49+C49)</f>
        <v>5.5143844568015125E-2</v>
      </c>
      <c r="D50" s="72"/>
      <c r="E50" s="72">
        <f>SQRT(D49+E49)</f>
        <v>0.1590025910150881</v>
      </c>
      <c r="F50" s="63"/>
      <c r="G50" s="63"/>
      <c r="H50" s="72"/>
      <c r="I50" s="72">
        <f>SQRT(H49+I49)</f>
        <v>0.25487361717061624</v>
      </c>
      <c r="J50" s="63"/>
      <c r="K50" s="63"/>
      <c r="L50" s="72"/>
      <c r="M50" s="72">
        <f>SQRT(L49+M49)</f>
        <v>0.14752294593887119</v>
      </c>
      <c r="N50" s="270"/>
      <c r="O50" s="270">
        <f>SQRT(N49+O49)</f>
        <v>0.25931904647539822</v>
      </c>
      <c r="P50" s="72"/>
      <c r="Q50" s="72">
        <f>SQRT(P49+Q49)</f>
        <v>0.10255204313490431</v>
      </c>
      <c r="R50" s="72"/>
      <c r="S50" s="72">
        <f>SQRT(R49+S49)</f>
        <v>0.18572694016495719</v>
      </c>
      <c r="T50" s="72"/>
      <c r="U50" s="72"/>
      <c r="V50" s="72"/>
      <c r="W50" s="72"/>
      <c r="Z50" s="72"/>
      <c r="AA50" s="72"/>
      <c r="AD50" s="72"/>
      <c r="AE50" s="72"/>
      <c r="AH50" s="72"/>
      <c r="AI50" s="72"/>
      <c r="AL50" s="72"/>
      <c r="AM50" s="72"/>
      <c r="AP50" s="72"/>
      <c r="AQ50" s="72"/>
      <c r="AR50" s="72"/>
      <c r="AS50" s="72"/>
      <c r="AV50" s="72"/>
      <c r="AW50" s="72"/>
      <c r="AZ50" s="72"/>
      <c r="BA50" s="72"/>
      <c r="BD50" s="72"/>
      <c r="BE50" s="72"/>
      <c r="BH50" s="72"/>
      <c r="BI50" s="72"/>
      <c r="BL50" s="72"/>
      <c r="BM50" s="72"/>
      <c r="BN50" s="72"/>
      <c r="BO50" s="72"/>
      <c r="BR50" s="72"/>
      <c r="BS50" s="72"/>
      <c r="BV50" s="72"/>
      <c r="BW50" s="72"/>
    </row>
    <row r="51" spans="1:75" s="129" customFormat="1" x14ac:dyDescent="0.3">
      <c r="A51" s="118" t="s">
        <v>48</v>
      </c>
      <c r="B51" s="72"/>
      <c r="C51" s="77">
        <f>C50/C36</f>
        <v>2.4123611347617747E-2</v>
      </c>
      <c r="D51" s="72"/>
      <c r="E51" s="77">
        <f>E50/E36</f>
        <v>7.193890947390888E-2</v>
      </c>
      <c r="F51" s="63"/>
      <c r="G51" s="63"/>
      <c r="H51" s="72"/>
      <c r="I51" s="77">
        <f>I50/I36</f>
        <v>0.27501372430455551</v>
      </c>
      <c r="J51" s="63"/>
      <c r="K51" s="63"/>
      <c r="L51" s="72"/>
      <c r="M51" s="77">
        <f>M50/M36</f>
        <v>0.12511487825648809</v>
      </c>
      <c r="N51" s="270"/>
      <c r="O51" s="277">
        <f>O50/O36</f>
        <v>0.20202587804517541</v>
      </c>
      <c r="P51" s="72"/>
      <c r="Q51" s="77">
        <f>Q50/Q36</f>
        <v>3.9199036076775377E-2</v>
      </c>
      <c r="R51" s="72"/>
      <c r="S51" s="77">
        <f>S50/S36</f>
        <v>6.4879981519479754E-2</v>
      </c>
      <c r="T51" s="72"/>
      <c r="U51" s="77"/>
      <c r="V51" s="72"/>
      <c r="W51" s="77"/>
      <c r="Z51" s="72"/>
      <c r="AA51" s="77"/>
      <c r="AD51" s="72"/>
      <c r="AE51" s="77"/>
      <c r="AH51" s="72"/>
      <c r="AI51" s="77"/>
      <c r="AL51" s="72"/>
      <c r="AM51" s="77"/>
      <c r="AP51" s="72"/>
      <c r="AQ51" s="77"/>
      <c r="AR51" s="72"/>
      <c r="AS51" s="77"/>
      <c r="AV51" s="72"/>
      <c r="AW51" s="77"/>
      <c r="AZ51" s="72"/>
      <c r="BA51" s="77"/>
      <c r="BD51" s="72"/>
      <c r="BE51" s="77"/>
      <c r="BH51" s="72"/>
      <c r="BI51" s="77"/>
      <c r="BL51" s="72"/>
      <c r="BM51" s="77"/>
      <c r="BN51" s="72"/>
      <c r="BO51" s="77"/>
      <c r="BR51" s="72"/>
      <c r="BS51" s="77"/>
      <c r="BV51" s="72"/>
      <c r="BW51" s="77"/>
    </row>
    <row r="52" spans="1:75" s="129" customFormat="1" x14ac:dyDescent="0.3">
      <c r="A52" s="118"/>
      <c r="B52" s="72"/>
      <c r="C52" s="144"/>
      <c r="D52" s="72"/>
      <c r="E52" s="144"/>
      <c r="F52" s="63"/>
      <c r="G52" s="63"/>
      <c r="H52" s="72"/>
      <c r="I52" s="144"/>
      <c r="J52" s="63"/>
      <c r="K52" s="63"/>
      <c r="L52" s="72"/>
      <c r="M52" s="144"/>
      <c r="N52" s="270"/>
      <c r="O52" s="277"/>
      <c r="P52" s="63"/>
      <c r="Q52" s="63"/>
      <c r="R52" s="63"/>
      <c r="S52" s="63"/>
      <c r="T52" s="72"/>
      <c r="U52" s="144"/>
      <c r="V52" s="63"/>
      <c r="W52" s="63"/>
      <c r="AZ52" s="72"/>
      <c r="BA52" s="144"/>
      <c r="BD52" s="72"/>
      <c r="BE52" s="144"/>
      <c r="BH52" s="72"/>
      <c r="BI52" s="144"/>
      <c r="BL52" s="72"/>
      <c r="BM52" s="144"/>
      <c r="BN52" s="72"/>
      <c r="BO52" s="144"/>
      <c r="BR52" s="72"/>
      <c r="BS52" s="144"/>
      <c r="BV52" s="72"/>
      <c r="BW52" s="144"/>
    </row>
    <row r="53" spans="1:75" s="129" customFormat="1" x14ac:dyDescent="0.3">
      <c r="A53" s="118" t="s">
        <v>89</v>
      </c>
      <c r="B53" s="72">
        <f>MEDIAN(B50:E50)</f>
        <v>0.1070732177915516</v>
      </c>
      <c r="C53" s="144"/>
      <c r="D53" s="72"/>
      <c r="E53" s="144"/>
      <c r="F53" s="63"/>
      <c r="G53" s="63"/>
      <c r="H53" s="72">
        <f>MEDIAN(H50:M50)</f>
        <v>0.20119828155474373</v>
      </c>
      <c r="I53" s="144"/>
      <c r="J53" s="63"/>
      <c r="K53" s="63"/>
      <c r="L53" s="72"/>
      <c r="M53" s="144"/>
      <c r="N53" s="270">
        <f>MEDIAN(N50:S50)</f>
        <v>0.18572694016495719</v>
      </c>
      <c r="O53" s="277"/>
      <c r="P53" s="72">
        <f>MEDIAN(P50:U50)</f>
        <v>0.14413949164993076</v>
      </c>
      <c r="Q53" s="63"/>
      <c r="R53" s="63"/>
      <c r="S53" s="63"/>
      <c r="T53" s="72"/>
      <c r="U53" s="144"/>
      <c r="V53" s="63"/>
      <c r="W53" s="63"/>
      <c r="AI53" s="72"/>
      <c r="AZ53" s="72"/>
      <c r="BA53" s="144"/>
      <c r="BD53" s="72"/>
      <c r="BE53" s="144"/>
      <c r="BH53" s="72"/>
      <c r="BI53" s="144"/>
      <c r="BL53" s="72"/>
      <c r="BM53" s="144"/>
      <c r="BN53" s="72"/>
      <c r="BO53" s="144"/>
      <c r="BR53" s="72"/>
      <c r="BS53" s="144"/>
      <c r="BV53" s="72"/>
      <c r="BW53" s="144"/>
    </row>
    <row r="54" spans="1:75" s="129" customFormat="1" x14ac:dyDescent="0.3">
      <c r="A54" s="118" t="s">
        <v>81</v>
      </c>
      <c r="B54" s="72">
        <f>AVERAGE(B50:E50)</f>
        <v>0.10707321779155161</v>
      </c>
      <c r="C54" s="144"/>
      <c r="D54" s="72"/>
      <c r="E54" s="144"/>
      <c r="F54" s="63"/>
      <c r="G54" s="63"/>
      <c r="H54" s="72">
        <f>AVERAGE(H50:M50)</f>
        <v>0.20119828155474373</v>
      </c>
      <c r="I54" s="144"/>
      <c r="J54" s="63"/>
      <c r="K54" s="63"/>
      <c r="L54" s="72"/>
      <c r="M54" s="144"/>
      <c r="N54" s="270">
        <f>AVERAGE(N50:S50)</f>
        <v>0.18253267659175323</v>
      </c>
      <c r="O54" s="277"/>
      <c r="P54" s="72">
        <f>AVERAGE(P50:U50)</f>
        <v>0.14413949164993076</v>
      </c>
      <c r="Q54" s="63"/>
      <c r="R54" s="63"/>
      <c r="S54" s="63"/>
      <c r="T54" s="72"/>
      <c r="U54" s="144"/>
      <c r="V54" s="63"/>
      <c r="W54" s="63"/>
      <c r="AI54" s="72"/>
      <c r="AZ54" s="72"/>
      <c r="BA54" s="144"/>
      <c r="BD54" s="72"/>
      <c r="BE54" s="144"/>
      <c r="BH54" s="72"/>
      <c r="BI54" s="144"/>
      <c r="BL54" s="72"/>
      <c r="BM54" s="144"/>
      <c r="BN54" s="72"/>
      <c r="BO54" s="144"/>
      <c r="BR54" s="72"/>
      <c r="BS54" s="144"/>
      <c r="BV54" s="72"/>
      <c r="BW54" s="144"/>
    </row>
    <row r="55" spans="1:75" s="129" customFormat="1" x14ac:dyDescent="0.3">
      <c r="A55" s="118" t="s">
        <v>82</v>
      </c>
      <c r="B55" s="72">
        <f>STDEV(B50:E50)</f>
        <v>7.3439223898259534E-2</v>
      </c>
      <c r="C55" s="144"/>
      <c r="D55" s="72"/>
      <c r="E55" s="144"/>
      <c r="F55" s="63"/>
      <c r="G55" s="63"/>
      <c r="H55" s="72">
        <f>STDEV(H50:M50)</f>
        <v>7.5908387592894436E-2</v>
      </c>
      <c r="I55" s="144"/>
      <c r="J55" s="63"/>
      <c r="K55" s="63"/>
      <c r="L55" s="72"/>
      <c r="M55" s="144"/>
      <c r="N55" s="270">
        <f>STDEV(N50:S50)</f>
        <v>7.84323008965115E-2</v>
      </c>
      <c r="O55" s="277"/>
      <c r="P55" s="72">
        <f>STDEV(P50:U50)</f>
        <v>5.8813533714443166E-2</v>
      </c>
      <c r="Q55" s="63"/>
      <c r="R55" s="63"/>
      <c r="S55" s="63"/>
      <c r="T55" s="72"/>
      <c r="U55" s="144"/>
      <c r="V55" s="63"/>
      <c r="W55" s="63"/>
      <c r="AI55" s="72"/>
      <c r="AZ55" s="72"/>
      <c r="BA55" s="144"/>
      <c r="BD55" s="72"/>
      <c r="BE55" s="144"/>
      <c r="BH55" s="72"/>
      <c r="BI55" s="144"/>
      <c r="BL55" s="72"/>
      <c r="BM55" s="144"/>
      <c r="BN55" s="72"/>
      <c r="BO55" s="144"/>
      <c r="BR55" s="72"/>
      <c r="BS55" s="144"/>
      <c r="BV55" s="72"/>
      <c r="BW55" s="144"/>
    </row>
    <row r="56" spans="1:75" s="129" customFormat="1" x14ac:dyDescent="0.3">
      <c r="A56" s="118" t="s">
        <v>83</v>
      </c>
      <c r="B56" s="72"/>
      <c r="C56" s="144"/>
      <c r="D56" s="72"/>
      <c r="E56" s="144"/>
      <c r="F56" s="63"/>
      <c r="G56" s="63"/>
      <c r="H56" s="72"/>
      <c r="I56" s="144"/>
      <c r="J56" s="63"/>
      <c r="K56" s="63"/>
      <c r="L56" s="72"/>
      <c r="M56" s="144"/>
      <c r="N56" s="270"/>
      <c r="O56" s="277"/>
      <c r="P56" s="72"/>
      <c r="Q56" s="63"/>
      <c r="R56" s="63"/>
      <c r="S56" s="63"/>
      <c r="T56" s="72"/>
      <c r="U56" s="144"/>
      <c r="V56" s="63"/>
      <c r="W56" s="63"/>
      <c r="AI56" s="72"/>
      <c r="AZ56" s="72"/>
      <c r="BA56" s="144"/>
      <c r="BD56" s="72"/>
      <c r="BE56" s="144"/>
      <c r="BH56" s="72"/>
      <c r="BI56" s="144"/>
      <c r="BL56" s="72"/>
      <c r="BM56" s="144"/>
      <c r="BN56" s="72"/>
      <c r="BO56" s="144"/>
      <c r="BR56" s="72"/>
      <c r="BS56" s="144"/>
      <c r="BV56" s="72"/>
      <c r="BW56" s="144"/>
    </row>
    <row r="57" spans="1:75" s="129" customFormat="1" x14ac:dyDescent="0.3">
      <c r="A57" s="118"/>
      <c r="B57" s="72"/>
      <c r="C57" s="72"/>
      <c r="D57" s="72"/>
      <c r="E57" s="72"/>
      <c r="F57" s="63"/>
      <c r="G57" s="63"/>
      <c r="H57" s="72"/>
      <c r="I57" s="72"/>
      <c r="J57" s="63"/>
      <c r="K57" s="63"/>
      <c r="L57" s="72"/>
      <c r="M57" s="72"/>
      <c r="N57" s="270"/>
      <c r="O57" s="270"/>
      <c r="P57" s="72"/>
      <c r="Q57" s="63"/>
      <c r="R57" s="63"/>
      <c r="S57" s="63"/>
      <c r="T57" s="72"/>
      <c r="U57" s="72"/>
      <c r="V57" s="63"/>
      <c r="W57" s="63"/>
      <c r="AI57" s="72"/>
      <c r="AZ57" s="72"/>
      <c r="BA57" s="72"/>
      <c r="BD57" s="72"/>
      <c r="BE57" s="72"/>
      <c r="BH57" s="72"/>
      <c r="BI57" s="72"/>
      <c r="BL57" s="72"/>
      <c r="BM57" s="72"/>
      <c r="BN57" s="72"/>
      <c r="BO57" s="72"/>
      <c r="BR57" s="72"/>
      <c r="BS57" s="72"/>
      <c r="BV57" s="72"/>
      <c r="BW57" s="72"/>
    </row>
    <row r="58" spans="1:75" s="129" customFormat="1" x14ac:dyDescent="0.3">
      <c r="B58" s="139"/>
      <c r="C58" s="139"/>
      <c r="D58" s="139"/>
      <c r="E58" s="139"/>
      <c r="F58" s="63"/>
      <c r="G58" s="63"/>
      <c r="H58" s="139"/>
      <c r="I58" s="139"/>
      <c r="J58" s="63"/>
      <c r="K58" s="63"/>
      <c r="L58" s="139"/>
      <c r="M58" s="139"/>
      <c r="N58" s="272"/>
      <c r="O58" s="272"/>
      <c r="P58" s="139"/>
      <c r="Q58" s="63"/>
      <c r="R58" s="63"/>
      <c r="S58" s="63"/>
      <c r="T58" s="139"/>
      <c r="U58" s="139"/>
      <c r="V58" s="63"/>
      <c r="W58" s="63"/>
      <c r="AI58" s="139"/>
      <c r="AZ58" s="139"/>
      <c r="BA58" s="139"/>
      <c r="BD58" s="139"/>
      <c r="BE58" s="139"/>
      <c r="BH58" s="139"/>
      <c r="BI58" s="139"/>
      <c r="BL58" s="139"/>
      <c r="BM58" s="139"/>
      <c r="BN58" s="139"/>
      <c r="BO58" s="139"/>
      <c r="BR58" s="139"/>
      <c r="BS58" s="139"/>
      <c r="BV58" s="139"/>
      <c r="BW58" s="139"/>
    </row>
    <row r="59" spans="1:75" x14ac:dyDescent="0.3">
      <c r="A59" s="139" t="s">
        <v>115</v>
      </c>
      <c r="B59" s="166"/>
      <c r="D59" s="147"/>
      <c r="H59" s="278">
        <f>AVERAGE(H36:M36)</f>
        <v>1.0529334227712639</v>
      </c>
      <c r="L59" s="147"/>
      <c r="N59" s="274"/>
      <c r="P59" s="278">
        <f>AVERAGE(P36:U36)</f>
        <v>2.739405539407846</v>
      </c>
      <c r="T59" s="147"/>
      <c r="AI59" s="166"/>
      <c r="AZ59" s="166"/>
      <c r="BD59" s="166"/>
      <c r="BH59" s="166"/>
      <c r="BL59" s="166"/>
      <c r="BN59" s="166"/>
      <c r="BR59" s="166"/>
      <c r="BV59" s="166"/>
    </row>
    <row r="60" spans="1:75" x14ac:dyDescent="0.3">
      <c r="A60" s="129" t="s">
        <v>116</v>
      </c>
      <c r="B60" s="166"/>
      <c r="H60" s="278">
        <f>STDEV(H36:M36)</f>
        <v>0.17842640536088336</v>
      </c>
      <c r="N60" s="274"/>
      <c r="P60" s="278">
        <f>STDEV(P36:U36)</f>
        <v>0.17425608350126304</v>
      </c>
      <c r="AI60" s="166"/>
      <c r="AZ60" s="166"/>
      <c r="BD60" s="166"/>
      <c r="BH60" s="166"/>
      <c r="BL60" s="166"/>
      <c r="BN60" s="166"/>
      <c r="BR60" s="166"/>
      <c r="BV60" s="166"/>
    </row>
    <row r="61" spans="1:75" x14ac:dyDescent="0.3">
      <c r="A61" s="129" t="s">
        <v>117</v>
      </c>
      <c r="B61" s="166"/>
      <c r="D61" s="141"/>
      <c r="H61" s="279">
        <f>AVERAGE(H42:M42)</f>
        <v>263.45982643992426</v>
      </c>
      <c r="L61" s="141"/>
      <c r="N61" s="276"/>
      <c r="P61" s="279">
        <f>AVERAGE(P42:U42)</f>
        <v>221.04816751578477</v>
      </c>
      <c r="T61" s="141"/>
      <c r="AI61" s="167"/>
      <c r="AZ61" s="166"/>
      <c r="BD61" s="166"/>
      <c r="BH61" s="166"/>
      <c r="BL61" s="166"/>
      <c r="BN61" s="166"/>
      <c r="BR61" s="166"/>
      <c r="BV61" s="166"/>
    </row>
    <row r="62" spans="1:75" x14ac:dyDescent="0.3">
      <c r="A62" s="129" t="s">
        <v>118</v>
      </c>
      <c r="B62" s="166"/>
      <c r="H62" s="278">
        <f>STDEV(H42:M42)</f>
        <v>11.160816988372467</v>
      </c>
      <c r="N62" s="274"/>
      <c r="P62" s="278">
        <f>STDEV(P42:U42)</f>
        <v>1.1733758523815299</v>
      </c>
      <c r="AI62" s="166"/>
      <c r="AZ62" s="166"/>
      <c r="BD62" s="166"/>
      <c r="BH62" s="166"/>
      <c r="BL62" s="166"/>
      <c r="BN62" s="166"/>
      <c r="BR62" s="166"/>
      <c r="BV62" s="166"/>
    </row>
    <row r="63" spans="1:75" x14ac:dyDescent="0.3">
      <c r="H63" s="280">
        <f>H59*H62/57</f>
        <v>0.20616837249983669</v>
      </c>
      <c r="P63" s="280">
        <f>P59*P62/57</f>
        <v>5.6392145786339748E-2</v>
      </c>
    </row>
  </sheetData>
  <mergeCells count="34">
    <mergeCell ref="B34:C34"/>
    <mergeCell ref="D34:E34"/>
    <mergeCell ref="H34:I34"/>
    <mergeCell ref="L34:M34"/>
    <mergeCell ref="T34:U34"/>
    <mergeCell ref="BV10:BW10"/>
    <mergeCell ref="B19:C19"/>
    <mergeCell ref="D19:E19"/>
    <mergeCell ref="H19:I19"/>
    <mergeCell ref="J19:K19"/>
    <mergeCell ref="L19:M19"/>
    <mergeCell ref="N19:O19"/>
    <mergeCell ref="T19:U19"/>
    <mergeCell ref="AF19:AG19"/>
    <mergeCell ref="AH19:AI19"/>
    <mergeCell ref="AD10:AE10"/>
    <mergeCell ref="AH10:AI10"/>
    <mergeCell ref="T10:U10"/>
    <mergeCell ref="V10:W10"/>
    <mergeCell ref="AP10:AQ10"/>
    <mergeCell ref="AR10:AS10"/>
    <mergeCell ref="BR10:BS10"/>
    <mergeCell ref="X10:Y10"/>
    <mergeCell ref="L10:M10"/>
    <mergeCell ref="N10:O10"/>
    <mergeCell ref="P10:Q10"/>
    <mergeCell ref="R10:S10"/>
    <mergeCell ref="Z10:AA10"/>
    <mergeCell ref="AL10:AM10"/>
    <mergeCell ref="B10:C10"/>
    <mergeCell ref="D10:E10"/>
    <mergeCell ref="F10:G10"/>
    <mergeCell ref="H10:I10"/>
    <mergeCell ref="J10:K10"/>
  </mergeCells>
  <pageMargins left="0.7" right="0.7" top="0.75" bottom="0.75" header="0.3" footer="0.3"/>
  <pageSetup scale="16"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63"/>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09375" defaultRowHeight="14.4" x14ac:dyDescent="0.3"/>
  <cols>
    <col min="1" max="1" width="28" style="118" customWidth="1"/>
    <col min="2" max="3" width="11.6640625" style="118" customWidth="1"/>
    <col min="4" max="5" width="9.109375" style="63" customWidth="1"/>
    <col min="6" max="6" width="11.6640625" style="118" customWidth="1"/>
    <col min="7" max="8" width="11.6640625" style="266" customWidth="1"/>
    <col min="9" max="12" width="9.109375" style="63" customWidth="1"/>
    <col min="13" max="14" width="11.6640625" style="118" customWidth="1"/>
    <col min="15" max="16" width="9.109375" style="63" customWidth="1"/>
    <col min="17" max="16384" width="9.109375" style="118"/>
  </cols>
  <sheetData>
    <row r="1" spans="1:70" s="127" customFormat="1" x14ac:dyDescent="0.3">
      <c r="A1" s="120" t="s">
        <v>39</v>
      </c>
      <c r="B1" s="120"/>
      <c r="C1" s="120"/>
      <c r="D1" s="67"/>
      <c r="E1" s="67"/>
      <c r="F1" s="120"/>
      <c r="G1" s="264"/>
      <c r="H1" s="264"/>
      <c r="I1" s="67"/>
      <c r="J1" s="67"/>
      <c r="K1" s="67"/>
      <c r="L1" s="67"/>
      <c r="M1" s="120"/>
      <c r="N1" s="120"/>
      <c r="O1" s="67"/>
      <c r="P1" s="67"/>
    </row>
    <row r="2" spans="1:70" s="249" customFormat="1" x14ac:dyDescent="0.3">
      <c r="B2" s="116"/>
      <c r="C2" s="116" t="s">
        <v>20</v>
      </c>
      <c r="D2" s="61"/>
      <c r="E2" s="61" t="s">
        <v>355</v>
      </c>
      <c r="F2" s="116"/>
      <c r="G2" s="61" t="s">
        <v>356</v>
      </c>
      <c r="H2" s="265"/>
      <c r="I2" s="61"/>
      <c r="J2" s="116"/>
      <c r="K2" s="61"/>
      <c r="L2" s="116"/>
      <c r="M2" s="116"/>
      <c r="N2" s="61"/>
      <c r="O2" s="61"/>
      <c r="P2" s="116"/>
      <c r="Q2" s="116"/>
      <c r="R2" s="61"/>
      <c r="S2" s="61"/>
      <c r="T2" s="116"/>
      <c r="U2" s="116"/>
      <c r="V2" s="61"/>
      <c r="W2" s="61"/>
      <c r="X2" s="116"/>
      <c r="Y2" s="116"/>
      <c r="Z2" s="61"/>
      <c r="AA2" s="61"/>
      <c r="AB2" s="116"/>
      <c r="AC2" s="116"/>
      <c r="AD2" s="61"/>
      <c r="AE2" s="61"/>
      <c r="AF2" s="116"/>
      <c r="AG2" s="116"/>
      <c r="AH2" s="61"/>
      <c r="AI2" s="83"/>
      <c r="AJ2" s="256"/>
      <c r="AK2" s="256"/>
      <c r="AL2" s="256"/>
      <c r="AM2" s="253"/>
      <c r="AN2" s="257"/>
      <c r="AO2" s="83"/>
      <c r="AP2" s="256"/>
      <c r="AQ2" s="116"/>
      <c r="AR2" s="61"/>
      <c r="AS2" s="61"/>
      <c r="AT2" s="116"/>
      <c r="AU2" s="116"/>
      <c r="AV2" s="61"/>
      <c r="AW2" s="61"/>
      <c r="AX2" s="116"/>
      <c r="AY2" s="116"/>
      <c r="AZ2" s="61"/>
      <c r="BA2" s="61"/>
      <c r="BB2" s="116"/>
      <c r="BC2" s="116"/>
      <c r="BD2" s="61"/>
      <c r="BE2" s="61"/>
      <c r="BF2" s="116"/>
      <c r="BG2" s="61"/>
      <c r="BH2" s="116"/>
      <c r="BI2" s="116"/>
      <c r="BJ2" s="61"/>
      <c r="BK2" s="61"/>
      <c r="BL2" s="116"/>
      <c r="BM2" s="116"/>
      <c r="BN2" s="61"/>
      <c r="BO2" s="61"/>
      <c r="BP2" s="116"/>
      <c r="BQ2" s="116"/>
      <c r="BR2" s="61"/>
    </row>
    <row r="3" spans="1:70" s="249" customFormat="1" x14ac:dyDescent="0.3">
      <c r="B3" s="116" t="s">
        <v>61</v>
      </c>
      <c r="C3" s="116" t="s">
        <v>60</v>
      </c>
      <c r="D3" s="61"/>
      <c r="E3" s="61"/>
      <c r="F3" s="116"/>
      <c r="G3" s="265"/>
      <c r="H3" s="265"/>
      <c r="I3" s="83"/>
      <c r="J3" s="83"/>
      <c r="K3" s="83"/>
      <c r="L3" s="83"/>
      <c r="M3" s="116"/>
      <c r="N3" s="116"/>
      <c r="O3" s="61"/>
      <c r="P3" s="61"/>
      <c r="AO3" s="259"/>
      <c r="AP3" s="259"/>
      <c r="AS3" s="118"/>
      <c r="AT3" s="118"/>
    </row>
    <row r="4" spans="1:70" x14ac:dyDescent="0.3">
      <c r="A4" s="118" t="s">
        <v>1</v>
      </c>
      <c r="B4" s="118">
        <v>472.90300000000002</v>
      </c>
      <c r="C4" s="118">
        <f>960-517.032</f>
        <v>442.96799999999996</v>
      </c>
      <c r="D4" s="63">
        <v>354</v>
      </c>
      <c r="E4" s="63">
        <v>277</v>
      </c>
      <c r="F4" s="63">
        <v>378</v>
      </c>
      <c r="G4" s="63">
        <v>259</v>
      </c>
      <c r="I4" s="74"/>
      <c r="J4" s="74"/>
      <c r="K4" s="74"/>
      <c r="L4" s="74"/>
      <c r="O4" s="74"/>
      <c r="P4" s="74"/>
      <c r="R4" s="217"/>
      <c r="S4" s="217"/>
      <c r="T4" s="217"/>
      <c r="W4" s="217"/>
      <c r="Y4" s="217"/>
      <c r="Z4" s="217"/>
      <c r="AA4" s="217"/>
      <c r="AB4" s="217"/>
      <c r="AC4" s="217"/>
      <c r="AD4" s="217"/>
      <c r="AE4" s="217"/>
      <c r="AF4" s="217"/>
      <c r="AG4" s="217"/>
      <c r="AH4" s="217"/>
      <c r="AI4" s="217"/>
      <c r="AJ4" s="217"/>
      <c r="AK4" s="217"/>
      <c r="AL4" s="217"/>
      <c r="AM4" s="217"/>
      <c r="AN4" s="217"/>
      <c r="AO4" s="260"/>
      <c r="AP4" s="258"/>
      <c r="AV4" s="217"/>
      <c r="BI4" s="63"/>
      <c r="BJ4" s="63"/>
      <c r="BN4" s="217"/>
      <c r="BR4" s="217"/>
    </row>
    <row r="5" spans="1:70" x14ac:dyDescent="0.3">
      <c r="A5" s="118" t="s">
        <v>2</v>
      </c>
      <c r="B5" s="118">
        <v>496.464</v>
      </c>
      <c r="C5" s="118">
        <f>960-548.741</f>
        <v>411.25900000000001</v>
      </c>
      <c r="D5" s="63">
        <v>319</v>
      </c>
      <c r="E5" s="63">
        <v>813</v>
      </c>
      <c r="F5" s="63">
        <v>357</v>
      </c>
      <c r="G5" s="63">
        <v>768</v>
      </c>
      <c r="H5" s="267"/>
      <c r="I5" s="74"/>
      <c r="J5" s="74"/>
      <c r="K5" s="74"/>
      <c r="L5" s="74"/>
      <c r="M5" s="74"/>
      <c r="N5" s="74"/>
      <c r="O5" s="74"/>
      <c r="P5" s="74"/>
      <c r="Q5" s="219"/>
      <c r="R5" s="219"/>
      <c r="S5" s="219"/>
      <c r="T5" s="219"/>
      <c r="U5" s="254"/>
      <c r="V5" s="254"/>
      <c r="W5" s="219"/>
      <c r="AA5" s="217"/>
      <c r="AB5" s="217"/>
      <c r="AC5" s="217"/>
      <c r="AD5" s="217"/>
      <c r="AE5" s="217"/>
      <c r="AF5" s="217"/>
      <c r="AG5" s="217"/>
      <c r="AH5" s="217"/>
      <c r="AI5" s="217"/>
      <c r="AJ5" s="217"/>
      <c r="AK5" s="217"/>
      <c r="AL5" s="217"/>
      <c r="AM5" s="217"/>
      <c r="AN5" s="217"/>
      <c r="AO5" s="260"/>
      <c r="AP5" s="258"/>
      <c r="AV5" s="217"/>
      <c r="BI5" s="63"/>
      <c r="BJ5" s="63"/>
      <c r="BN5" s="217"/>
      <c r="BR5" s="217"/>
    </row>
    <row r="6" spans="1:70" x14ac:dyDescent="0.3">
      <c r="A6" s="118" t="s">
        <v>4</v>
      </c>
      <c r="B6" s="118">
        <f t="shared" ref="B6:G6" si="0">B5-B4</f>
        <v>23.560999999999979</v>
      </c>
      <c r="C6" s="118">
        <f t="shared" si="0"/>
        <v>-31.708999999999946</v>
      </c>
      <c r="D6" s="63">
        <f t="shared" si="0"/>
        <v>-35</v>
      </c>
      <c r="E6" s="63">
        <f t="shared" si="0"/>
        <v>536</v>
      </c>
      <c r="F6" s="63">
        <f t="shared" si="0"/>
        <v>-21</v>
      </c>
      <c r="G6" s="63">
        <f t="shared" si="0"/>
        <v>509</v>
      </c>
      <c r="H6" s="267"/>
      <c r="I6" s="74"/>
      <c r="J6" s="74"/>
      <c r="K6" s="74"/>
      <c r="L6" s="74"/>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c r="AW6" s="74"/>
      <c r="AX6" s="74"/>
      <c r="AY6" s="63"/>
      <c r="AZ6" s="63"/>
      <c r="BA6" s="74"/>
      <c r="BB6" s="74"/>
      <c r="BC6" s="63"/>
      <c r="BD6" s="63"/>
      <c r="BE6" s="74"/>
      <c r="BF6" s="74"/>
      <c r="BG6" s="74"/>
      <c r="BH6" s="74"/>
      <c r="BI6" s="63"/>
      <c r="BJ6" s="63"/>
      <c r="BK6" s="74"/>
      <c r="BL6" s="74"/>
      <c r="BM6" s="63"/>
      <c r="BN6" s="63"/>
      <c r="BO6" s="74"/>
      <c r="BP6" s="74"/>
      <c r="BQ6" s="63"/>
      <c r="BR6" s="63"/>
    </row>
    <row r="7" spans="1:70" x14ac:dyDescent="0.3">
      <c r="A7" s="118" t="s">
        <v>5</v>
      </c>
      <c r="B7" s="118">
        <f t="shared" ref="B7:G7" si="1">B6^2</f>
        <v>555.12072099999898</v>
      </c>
      <c r="C7" s="118">
        <f t="shared" si="1"/>
        <v>1005.4606809999966</v>
      </c>
      <c r="D7" s="63">
        <f t="shared" si="1"/>
        <v>1225</v>
      </c>
      <c r="E7" s="63">
        <f t="shared" si="1"/>
        <v>287296</v>
      </c>
      <c r="F7" s="63">
        <f t="shared" si="1"/>
        <v>441</v>
      </c>
      <c r="G7" s="63">
        <f t="shared" si="1"/>
        <v>259081</v>
      </c>
      <c r="H7" s="267"/>
      <c r="I7" s="74"/>
      <c r="J7" s="74"/>
      <c r="K7" s="74"/>
      <c r="L7" s="74"/>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c r="AW7" s="74"/>
      <c r="AX7" s="74"/>
      <c r="AY7" s="63"/>
      <c r="AZ7" s="63"/>
      <c r="BA7" s="74"/>
      <c r="BB7" s="74"/>
      <c r="BC7" s="63"/>
      <c r="BD7" s="63"/>
      <c r="BE7" s="74"/>
      <c r="BF7" s="74"/>
      <c r="BG7" s="74"/>
      <c r="BH7" s="74"/>
      <c r="BI7" s="63"/>
      <c r="BJ7" s="63"/>
      <c r="BK7" s="74"/>
      <c r="BL7" s="74"/>
      <c r="BM7" s="63"/>
      <c r="BN7" s="63"/>
      <c r="BO7" s="74"/>
      <c r="BP7" s="74"/>
      <c r="BQ7" s="63"/>
      <c r="BR7" s="63"/>
    </row>
    <row r="8" spans="1:70" x14ac:dyDescent="0.3">
      <c r="A8" s="118" t="s">
        <v>6</v>
      </c>
      <c r="C8" s="118">
        <f>SQRT(SUM(B7:C7))</f>
        <v>39.504194739293141</v>
      </c>
      <c r="E8" s="63">
        <f>SQRT(SUM(D7:E7))</f>
        <v>537.14150835696921</v>
      </c>
      <c r="F8" s="63"/>
      <c r="G8" s="63">
        <f>SQRT(SUM(F7:G7))</f>
        <v>509.43301816823771</v>
      </c>
      <c r="H8" s="267"/>
      <c r="I8" s="74"/>
      <c r="J8" s="74"/>
      <c r="K8" s="74"/>
      <c r="L8" s="74"/>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c r="AW8" s="74"/>
      <c r="AX8" s="74"/>
      <c r="AY8" s="63"/>
      <c r="AZ8" s="63"/>
      <c r="BA8" s="74"/>
      <c r="BB8" s="74"/>
      <c r="BC8" s="63"/>
      <c r="BD8" s="63"/>
      <c r="BE8" s="74"/>
      <c r="BF8" s="74"/>
      <c r="BG8" s="74"/>
      <c r="BH8" s="74"/>
      <c r="BI8" s="63"/>
      <c r="BJ8" s="63"/>
      <c r="BK8" s="74"/>
      <c r="BL8" s="74"/>
      <c r="BM8" s="63"/>
      <c r="BN8" s="63"/>
      <c r="BO8" s="74"/>
      <c r="BP8" s="74"/>
      <c r="BQ8" s="63"/>
      <c r="BR8" s="63"/>
    </row>
    <row r="9" spans="1:70" x14ac:dyDescent="0.3">
      <c r="A9" s="118" t="s">
        <v>7</v>
      </c>
      <c r="C9" s="118">
        <f>MOD(ATAN2(C6,B6)*180/PI()+270,360)</f>
        <v>53.386238909557164</v>
      </c>
      <c r="E9" s="63">
        <f>MOD(ATAN2(E6,D6)*180/PI()+270,360)</f>
        <v>266.26397509571547</v>
      </c>
      <c r="F9" s="63"/>
      <c r="G9" s="63">
        <f>MOD(ATAN2(G6,F6)*180/PI()+270,360)</f>
        <v>267.63746684495828</v>
      </c>
      <c r="H9" s="267"/>
      <c r="I9" s="74"/>
      <c r="J9" s="74"/>
      <c r="K9" s="74"/>
      <c r="L9" s="74"/>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c r="AW9" s="74"/>
      <c r="AX9" s="74"/>
      <c r="AY9" s="63"/>
      <c r="AZ9" s="63"/>
      <c r="BA9" s="74"/>
      <c r="BB9" s="74"/>
      <c r="BC9" s="63"/>
      <c r="BD9" s="63"/>
      <c r="BE9" s="74"/>
      <c r="BF9" s="74"/>
      <c r="BG9" s="74"/>
      <c r="BH9" s="74"/>
      <c r="BI9" s="63"/>
      <c r="BJ9" s="63"/>
      <c r="BK9" s="74"/>
      <c r="BL9" s="74"/>
      <c r="BM9" s="63"/>
      <c r="BN9" s="63"/>
      <c r="BO9" s="74"/>
      <c r="BP9" s="74"/>
      <c r="BQ9" s="63"/>
      <c r="BR9" s="63"/>
    </row>
    <row r="10" spans="1:70" s="248" customFormat="1" ht="117" customHeight="1" x14ac:dyDescent="0.3">
      <c r="A10" s="250" t="s">
        <v>40</v>
      </c>
      <c r="B10" s="430" t="s">
        <v>354</v>
      </c>
      <c r="C10" s="430"/>
      <c r="D10" s="382"/>
      <c r="E10" s="382"/>
      <c r="F10" s="382"/>
      <c r="G10" s="382"/>
      <c r="H10" s="285"/>
      <c r="I10" s="384"/>
      <c r="J10" s="384"/>
      <c r="K10" s="384"/>
      <c r="L10" s="384"/>
      <c r="M10" s="384"/>
      <c r="N10" s="384"/>
      <c r="O10" s="426"/>
      <c r="P10" s="426"/>
      <c r="Q10" s="382"/>
      <c r="R10" s="382"/>
      <c r="S10" s="426"/>
      <c r="T10" s="426"/>
      <c r="W10" s="425"/>
      <c r="X10" s="425"/>
      <c r="AA10" s="425"/>
      <c r="AB10" s="425"/>
      <c r="AE10" s="425"/>
      <c r="AF10" s="425"/>
      <c r="AI10" s="425"/>
      <c r="AJ10" s="425"/>
      <c r="AK10" s="425"/>
      <c r="AL10" s="425"/>
      <c r="BA10" s="74"/>
      <c r="BB10" s="74"/>
      <c r="BK10" s="425"/>
      <c r="BL10" s="425"/>
      <c r="BO10" s="425"/>
      <c r="BP10" s="425"/>
    </row>
    <row r="11" spans="1:70" s="127" customFormat="1" x14ac:dyDescent="0.3">
      <c r="A11" s="120" t="s">
        <v>37</v>
      </c>
      <c r="B11" s="120"/>
      <c r="C11" s="120"/>
      <c r="D11" s="67"/>
      <c r="E11" s="67"/>
      <c r="F11" s="67"/>
      <c r="G11" s="67"/>
      <c r="H11" s="264"/>
      <c r="I11" s="67"/>
      <c r="J11" s="67"/>
      <c r="K11" s="67"/>
      <c r="L11" s="67"/>
      <c r="M11" s="120"/>
      <c r="N11" s="120"/>
      <c r="O11" s="67"/>
      <c r="P11" s="67"/>
      <c r="Q11" s="67"/>
      <c r="R11" s="67"/>
      <c r="S11" s="67"/>
      <c r="T11" s="67"/>
    </row>
    <row r="12" spans="1:70" s="283" customFormat="1" x14ac:dyDescent="0.3">
      <c r="B12" s="283" t="s">
        <v>62</v>
      </c>
      <c r="C12" s="283" t="s">
        <v>63</v>
      </c>
      <c r="D12" s="69"/>
      <c r="E12" s="69"/>
      <c r="F12" s="69"/>
      <c r="G12" s="69"/>
      <c r="H12" s="268"/>
      <c r="I12" s="69"/>
      <c r="J12" s="69"/>
      <c r="K12" s="69"/>
      <c r="L12" s="69"/>
      <c r="O12" s="69"/>
      <c r="P12" s="69"/>
      <c r="Q12" s="69"/>
      <c r="R12" s="69"/>
      <c r="S12" s="69"/>
      <c r="T12" s="69"/>
    </row>
    <row r="13" spans="1:70" x14ac:dyDescent="0.3">
      <c r="A13" s="118" t="s">
        <v>18</v>
      </c>
      <c r="F13" s="63"/>
      <c r="G13" s="63"/>
      <c r="Q13" s="63"/>
      <c r="R13" s="63"/>
      <c r="S13" s="63"/>
      <c r="T13" s="63"/>
    </row>
    <row r="14" spans="1:70" x14ac:dyDescent="0.3">
      <c r="A14" s="118" t="s">
        <v>17</v>
      </c>
      <c r="F14" s="63"/>
      <c r="G14" s="63"/>
      <c r="Q14" s="63"/>
      <c r="R14" s="63"/>
      <c r="S14" s="63"/>
      <c r="T14" s="63"/>
    </row>
    <row r="15" spans="1:70" x14ac:dyDescent="0.3">
      <c r="A15" s="118" t="s">
        <v>14</v>
      </c>
      <c r="F15" s="63"/>
      <c r="G15" s="63"/>
      <c r="Q15" s="63"/>
      <c r="R15" s="63"/>
      <c r="S15" s="63"/>
      <c r="T15" s="63"/>
    </row>
    <row r="16" spans="1:70" x14ac:dyDescent="0.3">
      <c r="A16" s="118" t="s">
        <v>13</v>
      </c>
      <c r="C16" s="147">
        <v>4.6509999999999998</v>
      </c>
      <c r="E16" s="111">
        <f>5*15.0412*COS((31+53/60+17/3600)*PI()/180)</f>
        <v>63.856048306882585</v>
      </c>
      <c r="F16" s="63"/>
      <c r="G16" s="111">
        <f>5*15.0412*COS((31+53/60+17/3600)*PI()/180)</f>
        <v>63.856048306882585</v>
      </c>
      <c r="J16" s="118"/>
      <c r="L16" s="118"/>
      <c r="M16" s="123"/>
      <c r="N16" s="111"/>
      <c r="P16" s="90"/>
      <c r="Q16" s="63"/>
      <c r="R16" s="111"/>
      <c r="S16" s="63"/>
      <c r="T16" s="90"/>
      <c r="U16" s="63"/>
      <c r="V16" s="111"/>
      <c r="Y16" s="63"/>
      <c r="Z16" s="255"/>
      <c r="AC16" s="63"/>
      <c r="AD16" s="255"/>
      <c r="AG16" s="63"/>
      <c r="AH16" s="255"/>
      <c r="AM16" s="63"/>
      <c r="AN16" s="255"/>
      <c r="AQ16" s="63"/>
      <c r="AR16" s="111"/>
      <c r="AU16" s="63"/>
      <c r="AV16" s="111"/>
      <c r="AY16" s="63"/>
      <c r="AZ16" s="111"/>
      <c r="BC16" s="63"/>
      <c r="BD16" s="111"/>
      <c r="BI16" s="63"/>
      <c r="BJ16" s="111"/>
      <c r="BM16" s="63"/>
      <c r="BN16" s="111"/>
      <c r="BQ16" s="63"/>
      <c r="BR16" s="111"/>
    </row>
    <row r="17" spans="1:70" x14ac:dyDescent="0.3">
      <c r="A17" s="118" t="s">
        <v>7</v>
      </c>
      <c r="C17" s="118">
        <v>57.05</v>
      </c>
      <c r="E17" s="63">
        <v>-90</v>
      </c>
      <c r="F17" s="63"/>
      <c r="G17" s="63">
        <v>-90</v>
      </c>
      <c r="H17" s="269"/>
      <c r="J17" s="118"/>
      <c r="L17" s="118"/>
      <c r="M17" s="123"/>
      <c r="N17" s="63"/>
      <c r="P17" s="93"/>
      <c r="Q17" s="63"/>
      <c r="R17" s="63"/>
      <c r="S17" s="63"/>
      <c r="T17" s="93"/>
      <c r="U17" s="63"/>
      <c r="V17" s="63"/>
      <c r="Y17" s="63"/>
      <c r="Z17" s="63"/>
      <c r="AC17" s="63"/>
      <c r="AD17" s="63"/>
      <c r="AG17" s="63"/>
      <c r="AH17" s="63"/>
      <c r="AM17" s="63"/>
      <c r="AN17" s="63"/>
      <c r="AQ17" s="63"/>
      <c r="AR17" s="63"/>
      <c r="AU17" s="63"/>
      <c r="AV17" s="63"/>
      <c r="AX17" s="141"/>
      <c r="AY17" s="63"/>
      <c r="AZ17" s="63"/>
      <c r="BB17" s="141"/>
      <c r="BC17" s="63"/>
      <c r="BD17" s="63"/>
      <c r="BI17" s="63"/>
      <c r="BJ17" s="63"/>
      <c r="BM17" s="63"/>
      <c r="BN17" s="63"/>
      <c r="BQ17" s="63"/>
      <c r="BR17" s="63"/>
    </row>
    <row r="18" spans="1:70" x14ac:dyDescent="0.3">
      <c r="A18" s="118" t="s">
        <v>32</v>
      </c>
      <c r="B18" s="72">
        <f>-C16*SIN((C17)/180*PI())</f>
        <v>-3.9028658868329367</v>
      </c>
      <c r="C18" s="72">
        <f>C16*COS((C17)/180*PI())</f>
        <v>2.5297112225303011</v>
      </c>
      <c r="D18" s="72">
        <f>-E16*SIN((E17)/180*PI())</f>
        <v>63.856048306882585</v>
      </c>
      <c r="E18" s="72">
        <f>E16*COS((E17)/180*PI())</f>
        <v>3.9116569459873698E-15</v>
      </c>
      <c r="F18" s="72">
        <f>-G16*SIN((G17)/180*PI())</f>
        <v>63.856048306882585</v>
      </c>
      <c r="G18" s="72">
        <f>G16*COS((G17)/180*PI())</f>
        <v>3.9116569459873698E-15</v>
      </c>
      <c r="H18" s="270"/>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row>
    <row r="19" spans="1:70" s="164" customFormat="1" ht="69" customHeight="1" x14ac:dyDescent="0.3">
      <c r="A19" s="251" t="s">
        <v>40</v>
      </c>
      <c r="B19" s="388"/>
      <c r="C19" s="388"/>
      <c r="D19" s="65"/>
      <c r="E19" s="65"/>
      <c r="F19" s="65"/>
      <c r="G19" s="65"/>
      <c r="H19" s="285"/>
      <c r="I19" s="65"/>
      <c r="J19" s="65"/>
      <c r="K19" s="65"/>
      <c r="L19" s="65"/>
      <c r="M19" s="388"/>
      <c r="N19" s="388"/>
      <c r="O19" s="65"/>
      <c r="P19" s="65"/>
      <c r="Y19" s="428"/>
      <c r="Z19" s="428"/>
      <c r="AA19" s="425"/>
      <c r="AB19" s="425"/>
    </row>
    <row r="20" spans="1:70" s="127" customFormat="1" x14ac:dyDescent="0.3">
      <c r="A20" s="252" t="s">
        <v>38</v>
      </c>
      <c r="D20" s="67"/>
      <c r="E20" s="67"/>
      <c r="F20" s="67"/>
      <c r="G20" s="67"/>
      <c r="H20" s="271"/>
      <c r="I20" s="67"/>
      <c r="J20" s="67"/>
      <c r="K20" s="67"/>
      <c r="L20" s="67"/>
      <c r="O20" s="67"/>
      <c r="P20" s="67"/>
    </row>
    <row r="21" spans="1:70" x14ac:dyDescent="0.3">
      <c r="A21" s="139" t="s">
        <v>65</v>
      </c>
      <c r="C21" s="118">
        <f>C16/C8</f>
        <v>0.11773433253592809</v>
      </c>
      <c r="E21" s="118">
        <f>E16/E8</f>
        <v>0.11888123951211316</v>
      </c>
      <c r="F21" s="63"/>
      <c r="G21" s="118">
        <f>G16/G8</f>
        <v>0.125347290084355</v>
      </c>
      <c r="J21" s="118"/>
      <c r="L21" s="118"/>
      <c r="P21" s="118"/>
      <c r="W21" s="63"/>
      <c r="AA21" s="63"/>
      <c r="AE21" s="63"/>
      <c r="AI21" s="63"/>
      <c r="AK21" s="63"/>
      <c r="BI21" s="63"/>
      <c r="BM21" s="63"/>
    </row>
    <row r="22" spans="1:70" x14ac:dyDescent="0.3">
      <c r="A22" s="118" t="s">
        <v>34</v>
      </c>
      <c r="C22" s="129"/>
      <c r="F22" s="63"/>
      <c r="G22" s="63"/>
      <c r="T22" s="63"/>
      <c r="W22" s="63"/>
      <c r="X22" s="63"/>
      <c r="AA22" s="63"/>
      <c r="AB22" s="63"/>
      <c r="AE22" s="63"/>
      <c r="AF22" s="63"/>
      <c r="AI22" s="63"/>
      <c r="AJ22" s="63"/>
      <c r="AK22" s="63"/>
      <c r="AL22" s="63"/>
      <c r="AP22" s="63"/>
      <c r="AR22" s="63"/>
      <c r="AT22" s="129"/>
      <c r="AV22" s="63"/>
      <c r="AX22" s="129"/>
      <c r="AZ22" s="63"/>
      <c r="BB22" s="129"/>
      <c r="BD22" s="63"/>
      <c r="BF22" s="129"/>
      <c r="BH22" s="129"/>
      <c r="BI22" s="63"/>
      <c r="BJ22" s="63"/>
      <c r="BL22" s="129"/>
      <c r="BM22" s="63"/>
      <c r="BN22" s="63"/>
      <c r="BP22" s="129"/>
      <c r="BR22" s="63"/>
    </row>
    <row r="23" spans="1:70" x14ac:dyDescent="0.3">
      <c r="A23" s="118" t="s">
        <v>35</v>
      </c>
      <c r="C23" s="118">
        <f>C21-$C22</f>
        <v>0.11773433253592809</v>
      </c>
      <c r="E23" s="118">
        <f>E21-$C22</f>
        <v>0.11888123951211316</v>
      </c>
      <c r="F23" s="63"/>
      <c r="G23" s="118">
        <f>G21-$C22</f>
        <v>0.125347290084355</v>
      </c>
      <c r="J23" s="118"/>
      <c r="L23" s="118"/>
      <c r="P23" s="118"/>
      <c r="W23" s="63"/>
      <c r="AA23" s="63"/>
      <c r="AE23" s="63"/>
      <c r="AI23" s="63"/>
      <c r="AK23" s="63"/>
      <c r="BI23" s="63"/>
      <c r="BM23" s="63"/>
    </row>
    <row r="24" spans="1:70" x14ac:dyDescent="0.3">
      <c r="A24" s="139" t="s">
        <v>64</v>
      </c>
      <c r="C24" s="74">
        <f>MOD(C9-C17,360)</f>
        <v>356.33623890955715</v>
      </c>
      <c r="E24" s="74">
        <f>MOD(E9-E17,360)</f>
        <v>356.26397509571547</v>
      </c>
      <c r="F24" s="63"/>
      <c r="G24" s="74">
        <f>MOD(G9-G17,360)</f>
        <v>357.63746684495828</v>
      </c>
      <c r="H24" s="267"/>
      <c r="J24" s="74"/>
      <c r="L24" s="74"/>
      <c r="N24" s="74"/>
      <c r="P24" s="74"/>
      <c r="R24" s="74"/>
      <c r="T24" s="74"/>
      <c r="V24" s="74"/>
      <c r="W24" s="63"/>
      <c r="X24" s="74"/>
      <c r="Z24" s="74"/>
      <c r="AA24" s="63"/>
      <c r="AB24" s="74"/>
      <c r="AD24" s="74"/>
      <c r="AE24" s="63"/>
      <c r="AF24" s="74"/>
      <c r="AH24" s="74"/>
      <c r="AI24" s="63"/>
      <c r="AJ24" s="74"/>
      <c r="AK24" s="63"/>
      <c r="AL24" s="74"/>
      <c r="AN24" s="74"/>
      <c r="AP24" s="74"/>
      <c r="AR24" s="74"/>
      <c r="AT24" s="74"/>
      <c r="AV24" s="74"/>
      <c r="AX24" s="74"/>
      <c r="AZ24" s="74"/>
      <c r="BB24" s="74"/>
      <c r="BD24" s="74"/>
      <c r="BF24" s="74"/>
      <c r="BH24" s="74"/>
      <c r="BI24" s="63"/>
      <c r="BJ24" s="74"/>
      <c r="BL24" s="74"/>
      <c r="BM24" s="63"/>
      <c r="BN24" s="74"/>
      <c r="BP24" s="74"/>
      <c r="BR24" s="74"/>
    </row>
    <row r="25" spans="1:70" x14ac:dyDescent="0.3">
      <c r="A25" s="118" t="s">
        <v>36</v>
      </c>
      <c r="F25" s="63"/>
      <c r="G25" s="63"/>
      <c r="T25" s="63"/>
      <c r="W25" s="63"/>
      <c r="X25" s="63"/>
      <c r="AA25" s="63"/>
      <c r="AB25" s="63"/>
      <c r="AE25" s="63"/>
      <c r="AF25" s="63"/>
      <c r="AI25" s="63"/>
      <c r="AJ25" s="63"/>
      <c r="AK25" s="63"/>
      <c r="AL25" s="63"/>
      <c r="AP25" s="63"/>
      <c r="AR25" s="63"/>
      <c r="AV25" s="63"/>
      <c r="AZ25" s="63"/>
      <c r="BD25" s="63"/>
      <c r="BI25" s="63"/>
      <c r="BJ25" s="63"/>
      <c r="BM25" s="63"/>
      <c r="BN25" s="63"/>
      <c r="BR25" s="63"/>
    </row>
    <row r="26" spans="1:70" x14ac:dyDescent="0.3">
      <c r="A26" s="118" t="s">
        <v>35</v>
      </c>
      <c r="C26" s="118">
        <f>C24-$C25</f>
        <v>356.33623890955715</v>
      </c>
      <c r="E26" s="118">
        <f>E24-$C25</f>
        <v>356.26397509571547</v>
      </c>
      <c r="F26" s="63"/>
      <c r="G26" s="118">
        <f>G24-$C25</f>
        <v>357.63746684495828</v>
      </c>
      <c r="P26" s="118"/>
      <c r="W26" s="63"/>
      <c r="AA26" s="63"/>
      <c r="AE26" s="63"/>
      <c r="AI26" s="63"/>
      <c r="AK26" s="63"/>
      <c r="AR26" s="63"/>
      <c r="AV26" s="63"/>
      <c r="AZ26" s="63"/>
      <c r="BD26" s="63"/>
      <c r="BI26" s="63"/>
      <c r="BJ26" s="63"/>
      <c r="BM26" s="63"/>
      <c r="BN26" s="63"/>
      <c r="BR26" s="63"/>
    </row>
    <row r="27" spans="1:70" x14ac:dyDescent="0.3">
      <c r="A27" s="118" t="s">
        <v>67</v>
      </c>
      <c r="C27" s="118">
        <f>SQRT(C16)</f>
        <v>2.1566177222679035</v>
      </c>
      <c r="E27" s="63">
        <f>SQRT(E16)</f>
        <v>7.9909979543785763</v>
      </c>
      <c r="F27" s="63"/>
      <c r="G27" s="63">
        <f>SQRT(G16)</f>
        <v>7.9909979543785763</v>
      </c>
      <c r="T27" s="63"/>
      <c r="W27" s="63"/>
      <c r="X27" s="63"/>
      <c r="AA27" s="63"/>
      <c r="AB27" s="63"/>
      <c r="AE27" s="63"/>
      <c r="AF27" s="63"/>
      <c r="AI27" s="63"/>
      <c r="AJ27" s="63"/>
      <c r="AK27" s="63"/>
      <c r="AL27" s="63"/>
      <c r="AP27" s="63"/>
      <c r="AR27" s="63"/>
      <c r="AV27" s="63"/>
      <c r="AZ27" s="63"/>
      <c r="BD27" s="63"/>
      <c r="BI27" s="63"/>
      <c r="BJ27" s="63"/>
      <c r="BM27" s="63"/>
      <c r="BN27" s="63"/>
      <c r="BR27" s="63"/>
    </row>
    <row r="28" spans="1:70" x14ac:dyDescent="0.3">
      <c r="A28" s="129" t="s">
        <v>68</v>
      </c>
      <c r="C28" s="118">
        <f>C27*C21</f>
        <v>0.25390794806636519</v>
      </c>
      <c r="E28" s="118">
        <f>E27*E21</f>
        <v>0.94997974175528577</v>
      </c>
      <c r="F28" s="63"/>
      <c r="G28" s="118">
        <f>G27*G21</f>
        <v>1.0016499386509787</v>
      </c>
      <c r="J28" s="118"/>
      <c r="L28" s="118"/>
      <c r="P28" s="118"/>
      <c r="W28" s="63"/>
      <c r="AA28" s="63"/>
      <c r="AE28" s="63"/>
      <c r="AI28" s="63"/>
      <c r="AK28" s="63"/>
      <c r="BI28" s="63"/>
      <c r="BM28" s="63"/>
    </row>
    <row r="29" spans="1:70" x14ac:dyDescent="0.3">
      <c r="A29" s="139" t="s">
        <v>69</v>
      </c>
      <c r="B29" s="118" t="s">
        <v>357</v>
      </c>
      <c r="C29" s="139">
        <f>SUM(B28:G28)/SUM(B27:G27)</f>
        <v>0.12159350617073536</v>
      </c>
      <c r="F29" s="63"/>
      <c r="G29" s="63"/>
      <c r="H29" s="272"/>
      <c r="N29" s="139"/>
      <c r="R29" s="139"/>
      <c r="T29" s="63"/>
      <c r="V29" s="139"/>
      <c r="W29" s="63"/>
      <c r="X29" s="63"/>
      <c r="Z29" s="139"/>
      <c r="AA29" s="63"/>
      <c r="AB29" s="63"/>
      <c r="AD29" s="139"/>
      <c r="AE29" s="63"/>
      <c r="AF29" s="63"/>
      <c r="AH29" s="139"/>
      <c r="AI29" s="63"/>
      <c r="AJ29" s="63"/>
      <c r="AK29" s="63"/>
      <c r="AL29" s="63"/>
      <c r="AN29" s="139"/>
      <c r="AP29" s="63"/>
      <c r="AR29" s="63"/>
      <c r="AT29" s="139"/>
      <c r="AV29" s="63"/>
      <c r="AX29" s="139"/>
      <c r="AZ29" s="63"/>
      <c r="BB29" s="139"/>
      <c r="BD29" s="63"/>
      <c r="BF29" s="139"/>
      <c r="BH29" s="139"/>
      <c r="BI29" s="63"/>
      <c r="BJ29" s="63"/>
      <c r="BL29" s="139"/>
      <c r="BM29" s="63"/>
      <c r="BN29" s="63"/>
      <c r="BP29" s="139"/>
      <c r="BR29" s="63"/>
    </row>
    <row r="30" spans="1:70" x14ac:dyDescent="0.3">
      <c r="A30" s="118" t="s">
        <v>72</v>
      </c>
      <c r="B30" s="118">
        <f>SQRT(SUMSQ(C30:G30)/SUM(C27:G27))</f>
        <v>1.4154464237794214E-3</v>
      </c>
      <c r="C30" s="139">
        <f>C21-$C$29</f>
        <v>-3.8591736348072697E-3</v>
      </c>
      <c r="E30" s="139">
        <f>E21-$C29</f>
        <v>-2.7122666586222033E-3</v>
      </c>
      <c r="F30" s="63"/>
      <c r="G30" s="139">
        <f>G21-$C29</f>
        <v>3.7537839136196349E-3</v>
      </c>
      <c r="H30" s="272"/>
      <c r="J30" s="75"/>
      <c r="L30" s="75"/>
      <c r="N30" s="139"/>
      <c r="P30" s="139"/>
      <c r="R30" s="139"/>
      <c r="T30" s="139"/>
      <c r="V30" s="139"/>
      <c r="W30" s="63"/>
      <c r="X30" s="139"/>
      <c r="Z30" s="139"/>
      <c r="AA30" s="63"/>
      <c r="AB30" s="139"/>
      <c r="AD30" s="139"/>
      <c r="AE30" s="63"/>
      <c r="AF30" s="139"/>
      <c r="AH30" s="139"/>
      <c r="AI30" s="63"/>
      <c r="AJ30" s="139"/>
      <c r="AK30" s="63"/>
      <c r="AL30" s="139"/>
      <c r="AN30" s="139"/>
      <c r="AP30" s="139"/>
      <c r="AR30" s="75"/>
      <c r="AT30" s="139"/>
      <c r="AV30" s="75"/>
      <c r="AX30" s="139"/>
      <c r="AZ30" s="75"/>
      <c r="BB30" s="139"/>
      <c r="BD30" s="75"/>
      <c r="BF30" s="139"/>
      <c r="BH30" s="139"/>
      <c r="BI30" s="63"/>
      <c r="BJ30" s="75"/>
      <c r="BL30" s="139"/>
      <c r="BM30" s="63"/>
      <c r="BN30" s="75"/>
      <c r="BP30" s="139"/>
      <c r="BR30" s="75"/>
    </row>
    <row r="31" spans="1:70" x14ac:dyDescent="0.3">
      <c r="A31" s="129" t="s">
        <v>119</v>
      </c>
      <c r="C31" s="118">
        <f>C27*C24</f>
        <v>768.48104791864068</v>
      </c>
      <c r="E31" s="63">
        <f>E27*E24</f>
        <v>2846.9046962086422</v>
      </c>
      <c r="F31" s="63"/>
      <c r="G31" s="63">
        <f>G27*G24</f>
        <v>2857.8802659671974</v>
      </c>
      <c r="T31" s="63"/>
      <c r="W31" s="63"/>
      <c r="X31" s="63"/>
      <c r="AA31" s="63"/>
      <c r="AB31" s="63"/>
      <c r="AE31" s="63"/>
      <c r="AF31" s="63"/>
      <c r="AI31" s="63"/>
      <c r="AJ31" s="63"/>
      <c r="AK31" s="63"/>
      <c r="AL31" s="63"/>
      <c r="AP31" s="63"/>
      <c r="AR31" s="63"/>
      <c r="AV31" s="63"/>
      <c r="AZ31" s="63"/>
      <c r="BD31" s="63"/>
      <c r="BI31" s="63"/>
      <c r="BJ31" s="63"/>
      <c r="BM31" s="63"/>
      <c r="BN31" s="63"/>
      <c r="BR31" s="63"/>
    </row>
    <row r="32" spans="1:70" x14ac:dyDescent="0.3">
      <c r="A32" s="261" t="s">
        <v>120</v>
      </c>
      <c r="C32" s="139">
        <f>MOD(SUM(B31:G31)/SUM(B27:G27),360)</f>
        <v>356.87766120241577</v>
      </c>
      <c r="F32" s="63"/>
      <c r="G32" s="63"/>
      <c r="H32" s="272"/>
      <c r="N32" s="139"/>
      <c r="R32" s="139"/>
      <c r="T32" s="63"/>
      <c r="V32" s="139"/>
      <c r="W32" s="63"/>
      <c r="X32" s="63"/>
      <c r="Z32" s="139"/>
      <c r="AA32" s="63"/>
      <c r="AB32" s="63"/>
      <c r="AD32" s="139"/>
      <c r="AE32" s="63"/>
      <c r="AF32" s="139"/>
      <c r="AH32" s="139"/>
      <c r="AI32" s="63"/>
      <c r="AJ32" s="63"/>
      <c r="AK32" s="63"/>
      <c r="AL32" s="63"/>
      <c r="AN32" s="139"/>
      <c r="AP32" s="63"/>
      <c r="AR32" s="139"/>
      <c r="AV32" s="139"/>
      <c r="AX32" s="139"/>
      <c r="AZ32" s="139"/>
      <c r="BB32" s="139"/>
      <c r="BD32" s="63"/>
      <c r="BF32" s="139"/>
      <c r="BH32" s="139"/>
      <c r="BI32" s="63"/>
      <c r="BJ32" s="63"/>
      <c r="BL32" s="139"/>
      <c r="BM32" s="63"/>
      <c r="BN32" s="63"/>
      <c r="BP32" s="139"/>
      <c r="BR32" s="63"/>
    </row>
    <row r="33" spans="1:70" x14ac:dyDescent="0.3">
      <c r="A33" s="118" t="s">
        <v>121</v>
      </c>
      <c r="B33" s="118">
        <f>SQRT(SUMSQ(C33:G33)/SUM(C27:G27))</f>
        <v>0.26220469985077988</v>
      </c>
      <c r="C33" s="139">
        <f>C24-$C$32</f>
        <v>-0.54142229285861276</v>
      </c>
      <c r="E33" s="139">
        <f>E24-$C$32</f>
        <v>-0.61368610670029966</v>
      </c>
      <c r="F33" s="63"/>
      <c r="G33" s="139">
        <f>G24-$C$32</f>
        <v>0.75980564254251703</v>
      </c>
      <c r="H33" s="272"/>
      <c r="J33" s="75"/>
      <c r="L33" s="75"/>
      <c r="N33" s="139"/>
      <c r="P33" s="139"/>
      <c r="R33" s="139"/>
      <c r="T33" s="139"/>
      <c r="V33" s="139"/>
      <c r="W33" s="63"/>
      <c r="X33" s="139"/>
      <c r="Z33" s="139"/>
      <c r="AA33" s="63"/>
      <c r="AB33" s="139"/>
      <c r="AD33" s="139"/>
      <c r="AE33" s="63"/>
      <c r="AF33" s="139"/>
      <c r="AH33" s="139"/>
      <c r="AI33" s="63"/>
      <c r="AJ33" s="139"/>
      <c r="AK33" s="63"/>
      <c r="AL33" s="139"/>
      <c r="AN33" s="139"/>
      <c r="AP33" s="139"/>
      <c r="AR33" s="75"/>
      <c r="AT33" s="139"/>
      <c r="AV33" s="75"/>
      <c r="AX33" s="139"/>
      <c r="AZ33" s="75"/>
      <c r="BB33" s="139"/>
      <c r="BD33" s="75"/>
      <c r="BF33" s="139"/>
      <c r="BH33" s="139"/>
      <c r="BI33" s="63"/>
      <c r="BJ33" s="75"/>
      <c r="BL33" s="139"/>
      <c r="BM33" s="63"/>
      <c r="BN33" s="75"/>
      <c r="BP33" s="139"/>
      <c r="BR33" s="75"/>
    </row>
    <row r="34" spans="1:70" s="164" customFormat="1" ht="75.75" customHeight="1" x14ac:dyDescent="0.3">
      <c r="A34" s="251" t="s">
        <v>40</v>
      </c>
      <c r="B34" s="384"/>
      <c r="C34" s="384"/>
      <c r="D34" s="65"/>
      <c r="E34" s="65"/>
      <c r="G34" s="284"/>
      <c r="H34" s="284"/>
      <c r="I34" s="65"/>
      <c r="J34" s="65"/>
      <c r="K34" s="65"/>
      <c r="L34" s="65"/>
      <c r="M34" s="384"/>
      <c r="N34" s="384"/>
      <c r="O34" s="65"/>
      <c r="P34" s="65"/>
      <c r="W34" s="65"/>
      <c r="X34" s="65"/>
      <c r="AA34" s="65"/>
      <c r="AB34" s="65"/>
      <c r="AE34" s="65"/>
      <c r="AF34" s="65"/>
      <c r="AI34" s="65"/>
      <c r="AJ34" s="65"/>
      <c r="AK34" s="65"/>
      <c r="AL34" s="65"/>
    </row>
    <row r="35" spans="1:70" s="127" customFormat="1" x14ac:dyDescent="0.3">
      <c r="A35" s="120" t="s">
        <v>54</v>
      </c>
      <c r="B35" s="120"/>
      <c r="C35" s="120"/>
      <c r="D35" s="67"/>
      <c r="E35" s="67"/>
      <c r="F35" s="120"/>
      <c r="G35" s="264"/>
      <c r="H35" s="264"/>
      <c r="I35" s="67"/>
      <c r="J35" s="67"/>
      <c r="K35" s="67"/>
      <c r="L35" s="67"/>
      <c r="M35" s="120"/>
      <c r="N35" s="120"/>
      <c r="O35" s="67"/>
      <c r="P35" s="67"/>
      <c r="W35" s="67"/>
      <c r="X35" s="67"/>
      <c r="AA35" s="67"/>
      <c r="AB35" s="67"/>
      <c r="AE35" s="67"/>
      <c r="AF35" s="67"/>
      <c r="AI35" s="67"/>
      <c r="AJ35" s="67"/>
      <c r="AK35" s="67"/>
      <c r="AL35" s="67"/>
    </row>
    <row r="36" spans="1:70" x14ac:dyDescent="0.3">
      <c r="A36" s="139" t="s">
        <v>42</v>
      </c>
      <c r="C36" s="147">
        <f>C8*$C29</f>
        <v>4.8034535468021717</v>
      </c>
      <c r="D36" s="63">
        <f>C36*B30/C29</f>
        <v>5.5916071168018305E-2</v>
      </c>
      <c r="E36" s="63" t="s">
        <v>358</v>
      </c>
      <c r="F36" s="147"/>
      <c r="H36" s="274"/>
      <c r="J36" s="166"/>
      <c r="L36" s="166"/>
      <c r="N36" s="141"/>
      <c r="P36" s="166"/>
      <c r="S36" s="63"/>
      <c r="T36" s="166"/>
      <c r="W36" s="63"/>
      <c r="X36" s="166"/>
      <c r="AA36" s="63"/>
      <c r="AB36" s="166"/>
      <c r="AE36" s="63"/>
      <c r="AF36" s="166"/>
      <c r="AI36" s="63"/>
      <c r="AJ36" s="166"/>
      <c r="AK36" s="63"/>
      <c r="AL36" s="166"/>
      <c r="AO36" s="63"/>
      <c r="AP36" s="166"/>
      <c r="AT36" s="147"/>
      <c r="AX36" s="147"/>
      <c r="BB36" s="147"/>
      <c r="BF36" s="147"/>
      <c r="BH36" s="147"/>
      <c r="BL36" s="147"/>
      <c r="BP36" s="147"/>
    </row>
    <row r="37" spans="1:70" x14ac:dyDescent="0.3">
      <c r="A37" s="118" t="s">
        <v>50</v>
      </c>
      <c r="C37" s="141">
        <f>C36-C16</f>
        <v>0.15245354680217194</v>
      </c>
      <c r="F37" s="141"/>
      <c r="H37" s="269"/>
      <c r="J37" s="141"/>
      <c r="L37" s="141"/>
      <c r="N37" s="141"/>
      <c r="P37" s="141"/>
      <c r="S37" s="63"/>
      <c r="T37" s="141"/>
      <c r="W37" s="63"/>
      <c r="X37" s="141"/>
      <c r="AA37" s="63"/>
      <c r="AB37" s="141"/>
      <c r="AE37" s="63"/>
      <c r="AF37" s="141"/>
      <c r="AI37" s="63"/>
      <c r="AJ37" s="141"/>
      <c r="AK37" s="63"/>
      <c r="AL37" s="141"/>
      <c r="AO37" s="63"/>
      <c r="AP37" s="141"/>
      <c r="AT37" s="141"/>
      <c r="AX37" s="141"/>
      <c r="BB37" s="141"/>
      <c r="BF37" s="141"/>
      <c r="BH37" s="141"/>
      <c r="BL37" s="141"/>
      <c r="BP37" s="141"/>
    </row>
    <row r="38" spans="1:70" x14ac:dyDescent="0.3">
      <c r="A38" s="118" t="s">
        <v>51</v>
      </c>
      <c r="C38" s="142">
        <f>C37/C16</f>
        <v>3.277865981556051E-2</v>
      </c>
      <c r="F38" s="142"/>
      <c r="H38" s="275"/>
      <c r="J38" s="142"/>
      <c r="L38" s="142"/>
      <c r="N38" s="142"/>
      <c r="P38" s="142"/>
      <c r="S38" s="63"/>
      <c r="T38" s="142"/>
      <c r="W38" s="63"/>
      <c r="X38" s="142"/>
      <c r="AA38" s="63"/>
      <c r="AB38" s="142"/>
      <c r="AE38" s="63"/>
      <c r="AF38" s="142"/>
      <c r="AI38" s="63"/>
      <c r="AJ38" s="142"/>
      <c r="AK38" s="63"/>
      <c r="AL38" s="142"/>
      <c r="AO38" s="63"/>
      <c r="AP38" s="142"/>
      <c r="AT38" s="142"/>
      <c r="AX38" s="142"/>
      <c r="BB38" s="142"/>
      <c r="BF38" s="142"/>
      <c r="BH38" s="142"/>
      <c r="BL38" s="142"/>
      <c r="BP38" s="142"/>
    </row>
    <row r="39" spans="1:70" x14ac:dyDescent="0.3">
      <c r="A39" s="74" t="s">
        <v>53</v>
      </c>
      <c r="B39" s="118">
        <f>AVERAGE(B37:C37)</f>
        <v>0.15245354680217194</v>
      </c>
      <c r="C39" s="142">
        <f>AVERAGE(C38:C38)</f>
        <v>3.277865981556051E-2</v>
      </c>
      <c r="F39" s="142"/>
      <c r="H39" s="275"/>
      <c r="J39" s="142"/>
      <c r="L39" s="142"/>
      <c r="N39" s="142"/>
      <c r="P39" s="142"/>
      <c r="S39" s="63"/>
      <c r="T39" s="142"/>
      <c r="W39" s="63"/>
      <c r="X39" s="142"/>
      <c r="AA39" s="63"/>
      <c r="AB39" s="142"/>
      <c r="AE39" s="63"/>
      <c r="AF39" s="142"/>
      <c r="AI39" s="63"/>
      <c r="AJ39" s="142"/>
      <c r="AK39" s="63"/>
      <c r="AL39" s="142"/>
      <c r="AO39" s="63"/>
      <c r="AP39" s="142"/>
      <c r="AT39" s="142"/>
      <c r="AX39" s="142"/>
      <c r="BB39" s="142"/>
      <c r="BF39" s="142"/>
      <c r="BH39" s="142"/>
      <c r="BL39" s="142"/>
      <c r="BP39" s="142"/>
    </row>
    <row r="40" spans="1:70" x14ac:dyDescent="0.3">
      <c r="A40" s="74" t="s">
        <v>52</v>
      </c>
      <c r="B40" s="118" t="e">
        <f>STDEV(B37:C37)</f>
        <v>#DIV/0!</v>
      </c>
      <c r="C40" s="142" t="e">
        <f>STDEV(C38:C38)</f>
        <v>#DIV/0!</v>
      </c>
      <c r="F40" s="142"/>
      <c r="H40" s="275"/>
      <c r="J40" s="142"/>
      <c r="L40" s="142"/>
      <c r="N40" s="142"/>
      <c r="P40" s="142"/>
      <c r="S40" s="63"/>
      <c r="T40" s="142"/>
      <c r="W40" s="63"/>
      <c r="X40" s="142"/>
      <c r="AA40" s="63"/>
      <c r="AB40" s="142"/>
      <c r="AE40" s="63"/>
      <c r="AF40" s="142"/>
      <c r="AI40" s="63"/>
      <c r="AJ40" s="142"/>
      <c r="AK40" s="63"/>
      <c r="AL40" s="142"/>
      <c r="AO40" s="63"/>
      <c r="AP40" s="142"/>
      <c r="AT40" s="142"/>
      <c r="AX40" s="142"/>
      <c r="BB40" s="142"/>
      <c r="BF40" s="142"/>
      <c r="BH40" s="142"/>
      <c r="BL40" s="142"/>
      <c r="BP40" s="142"/>
    </row>
    <row r="41" spans="1:70" x14ac:dyDescent="0.3">
      <c r="C41" s="142"/>
      <c r="F41" s="142"/>
      <c r="H41" s="275"/>
      <c r="J41" s="142"/>
      <c r="L41" s="142"/>
      <c r="N41" s="142"/>
      <c r="P41" s="142"/>
      <c r="S41" s="63"/>
      <c r="T41" s="142"/>
      <c r="W41" s="63"/>
      <c r="X41" s="142"/>
      <c r="AA41" s="63"/>
      <c r="AB41" s="142"/>
      <c r="AE41" s="63"/>
      <c r="AF41" s="142"/>
      <c r="AI41" s="63"/>
      <c r="AJ41" s="142"/>
      <c r="AK41" s="63"/>
      <c r="AL41" s="142"/>
      <c r="AO41" s="63"/>
      <c r="AP41" s="142"/>
      <c r="AT41" s="142"/>
      <c r="AX41" s="142"/>
      <c r="BB41" s="142"/>
      <c r="BF41" s="142"/>
      <c r="BH41" s="142"/>
      <c r="BL41" s="142"/>
      <c r="BP41" s="142"/>
    </row>
    <row r="42" spans="1:70" x14ac:dyDescent="0.3">
      <c r="A42" s="139" t="s">
        <v>43</v>
      </c>
      <c r="C42" s="141">
        <f>MOD(C9-$C32,360)</f>
        <v>56.508577707141399</v>
      </c>
      <c r="D42" s="63">
        <f>B33</f>
        <v>0.26220469985077988</v>
      </c>
      <c r="E42" s="141" t="s">
        <v>358</v>
      </c>
      <c r="F42" s="141"/>
      <c r="H42" s="276"/>
      <c r="J42" s="167"/>
      <c r="L42" s="167"/>
      <c r="N42" s="141"/>
      <c r="P42" s="167"/>
      <c r="S42" s="63"/>
      <c r="T42" s="167"/>
      <c r="W42" s="63"/>
      <c r="X42" s="167"/>
      <c r="AA42" s="63"/>
      <c r="AB42" s="167"/>
      <c r="AE42" s="63"/>
      <c r="AF42" s="167"/>
      <c r="AI42" s="63"/>
      <c r="AJ42" s="167"/>
      <c r="AK42" s="63"/>
      <c r="AL42" s="167"/>
      <c r="AO42" s="63"/>
      <c r="AP42" s="167"/>
      <c r="AT42" s="141"/>
      <c r="AX42" s="141"/>
      <c r="BB42" s="141"/>
      <c r="BF42" s="141"/>
      <c r="BH42" s="141"/>
      <c r="BL42" s="141"/>
      <c r="BP42" s="141"/>
    </row>
    <row r="43" spans="1:70" x14ac:dyDescent="0.3">
      <c r="A43" s="118" t="s">
        <v>55</v>
      </c>
      <c r="C43" s="141">
        <f>C42-C17</f>
        <v>-0.54142229285859855</v>
      </c>
      <c r="E43" s="141"/>
      <c r="F43" s="141"/>
      <c r="H43" s="269"/>
      <c r="J43" s="141"/>
      <c r="L43" s="141"/>
      <c r="N43" s="141"/>
      <c r="P43" s="141"/>
      <c r="S43" s="63"/>
      <c r="T43" s="141"/>
      <c r="W43" s="63"/>
      <c r="X43" s="141"/>
      <c r="AA43" s="63"/>
      <c r="AB43" s="141"/>
      <c r="AE43" s="63"/>
      <c r="AF43" s="141"/>
      <c r="AI43" s="63"/>
      <c r="AJ43" s="141"/>
      <c r="AK43" s="63"/>
      <c r="AL43" s="141"/>
      <c r="AO43" s="63"/>
      <c r="AP43" s="141"/>
      <c r="AT43" s="141"/>
      <c r="AX43" s="141"/>
      <c r="BB43" s="141"/>
      <c r="BF43" s="141"/>
      <c r="BH43" s="141"/>
      <c r="BL43" s="141"/>
      <c r="BP43" s="141"/>
    </row>
    <row r="44" spans="1:70" x14ac:dyDescent="0.3">
      <c r="A44" s="118" t="s">
        <v>56</v>
      </c>
      <c r="B44" s="118">
        <f>AVERAGE(B43:C43)</f>
        <v>-0.54142229285859855</v>
      </c>
      <c r="C44" s="141"/>
      <c r="E44" s="101"/>
      <c r="F44" s="141"/>
      <c r="H44" s="269"/>
      <c r="J44" s="101"/>
      <c r="L44" s="101"/>
      <c r="N44" s="141"/>
      <c r="P44" s="101"/>
      <c r="S44" s="63"/>
      <c r="T44" s="101"/>
      <c r="W44" s="63"/>
      <c r="X44" s="101"/>
      <c r="AA44" s="63"/>
      <c r="AB44" s="101"/>
      <c r="AE44" s="63"/>
      <c r="AF44" s="101"/>
      <c r="AI44" s="63"/>
      <c r="AJ44" s="101"/>
      <c r="AK44" s="63"/>
      <c r="AL44" s="101"/>
      <c r="AO44" s="63"/>
      <c r="AP44" s="101"/>
      <c r="AT44" s="141"/>
      <c r="AX44" s="141"/>
      <c r="BB44" s="141"/>
      <c r="BF44" s="141"/>
      <c r="BH44" s="141"/>
      <c r="BL44" s="141"/>
      <c r="BP44" s="141"/>
    </row>
    <row r="45" spans="1:70" x14ac:dyDescent="0.3">
      <c r="A45" s="118" t="s">
        <v>57</v>
      </c>
      <c r="B45" s="118" t="e">
        <f>STDEV(B43:C43)</f>
        <v>#DIV/0!</v>
      </c>
      <c r="C45" s="141"/>
      <c r="F45" s="141"/>
      <c r="H45" s="269"/>
      <c r="N45" s="141"/>
      <c r="S45" s="63"/>
      <c r="T45" s="63"/>
      <c r="W45" s="63"/>
      <c r="X45" s="63"/>
      <c r="AA45" s="63"/>
      <c r="AB45" s="63"/>
      <c r="AE45" s="63"/>
      <c r="AF45" s="63"/>
      <c r="AI45" s="63"/>
      <c r="AJ45" s="63"/>
      <c r="AK45" s="63"/>
      <c r="AL45" s="63"/>
      <c r="AO45" s="63"/>
      <c r="AP45" s="63"/>
      <c r="AT45" s="141"/>
      <c r="AX45" s="141"/>
      <c r="BB45" s="141"/>
      <c r="BF45" s="141"/>
      <c r="BH45" s="141"/>
      <c r="BL45" s="141"/>
      <c r="BP45" s="141"/>
    </row>
    <row r="46" spans="1:70" x14ac:dyDescent="0.3">
      <c r="C46" s="141"/>
      <c r="F46" s="141"/>
      <c r="H46" s="269"/>
      <c r="N46" s="141"/>
      <c r="S46" s="63"/>
      <c r="T46" s="63"/>
      <c r="W46" s="63"/>
      <c r="X46" s="63"/>
      <c r="AA46" s="63"/>
      <c r="AB46" s="63"/>
      <c r="AE46" s="63"/>
      <c r="AF46" s="63"/>
      <c r="AI46" s="63"/>
      <c r="AJ46" s="63"/>
      <c r="AK46" s="63"/>
      <c r="AL46" s="63"/>
      <c r="AO46" s="63"/>
      <c r="AP46" s="63"/>
      <c r="AT46" s="141"/>
      <c r="AX46" s="141"/>
      <c r="BB46" s="141"/>
      <c r="BF46" s="141"/>
      <c r="BH46" s="141"/>
      <c r="BL46" s="141"/>
      <c r="BP46" s="141"/>
    </row>
    <row r="47" spans="1:70" x14ac:dyDescent="0.3">
      <c r="A47" s="118" t="s">
        <v>44</v>
      </c>
      <c r="B47" s="72">
        <f>-C36*SIN((C42)/180*PI())</f>
        <v>-4.0059286744123748</v>
      </c>
      <c r="C47" s="72">
        <f>C36*COS((C42)/180*PI())</f>
        <v>2.6506039749096955</v>
      </c>
      <c r="F47" s="72"/>
      <c r="G47" s="270"/>
      <c r="H47" s="270"/>
      <c r="I47" s="72"/>
      <c r="J47" s="72"/>
      <c r="K47" s="72"/>
      <c r="L47" s="72"/>
      <c r="M47" s="72"/>
      <c r="N47" s="72"/>
      <c r="O47" s="72"/>
      <c r="P47" s="72"/>
      <c r="S47" s="72"/>
      <c r="T47" s="72"/>
      <c r="W47" s="72"/>
      <c r="X47" s="72"/>
      <c r="AA47" s="72"/>
      <c r="AB47" s="72"/>
      <c r="AE47" s="72"/>
      <c r="AF47" s="72"/>
      <c r="AI47" s="72"/>
      <c r="AJ47" s="72"/>
      <c r="AK47" s="72"/>
      <c r="AL47" s="72"/>
      <c r="AO47" s="72"/>
      <c r="AP47" s="72"/>
      <c r="AS47" s="72"/>
      <c r="AT47" s="72"/>
      <c r="AW47" s="72"/>
      <c r="AX47" s="72"/>
      <c r="BA47" s="72"/>
      <c r="BB47" s="72"/>
      <c r="BE47" s="72"/>
      <c r="BF47" s="72"/>
      <c r="BG47" s="72"/>
      <c r="BH47" s="72"/>
      <c r="BK47" s="72"/>
      <c r="BL47" s="72"/>
      <c r="BO47" s="72"/>
      <c r="BP47" s="72"/>
    </row>
    <row r="48" spans="1:70" s="129" customFormat="1" x14ac:dyDescent="0.3">
      <c r="A48" s="118" t="s">
        <v>45</v>
      </c>
      <c r="B48" s="72">
        <f>B47-B18</f>
        <v>-0.1030627875794381</v>
      </c>
      <c r="C48" s="72">
        <f>C47-C18</f>
        <v>0.12089275237939434</v>
      </c>
      <c r="D48" s="63"/>
      <c r="E48" s="63"/>
      <c r="F48" s="72"/>
      <c r="G48" s="270"/>
      <c r="H48" s="270"/>
      <c r="I48" s="72"/>
      <c r="J48" s="72"/>
      <c r="K48" s="72"/>
      <c r="L48" s="72"/>
      <c r="M48" s="72"/>
      <c r="N48" s="72"/>
      <c r="O48" s="72"/>
      <c r="P48" s="72"/>
      <c r="S48" s="72"/>
      <c r="T48" s="72"/>
      <c r="W48" s="72"/>
      <c r="X48" s="72"/>
      <c r="AA48" s="72"/>
      <c r="AB48" s="72"/>
      <c r="AE48" s="72"/>
      <c r="AF48" s="72"/>
      <c r="AI48" s="72"/>
      <c r="AJ48" s="72"/>
      <c r="AK48" s="72"/>
      <c r="AL48" s="72"/>
      <c r="AO48" s="72"/>
      <c r="AP48" s="72"/>
      <c r="AS48" s="72"/>
      <c r="AT48" s="72"/>
      <c r="AW48" s="72"/>
      <c r="AX48" s="72"/>
      <c r="BA48" s="72"/>
      <c r="BB48" s="72"/>
      <c r="BE48" s="72"/>
      <c r="BF48" s="72"/>
      <c r="BG48" s="72"/>
      <c r="BH48" s="72"/>
      <c r="BK48" s="72"/>
      <c r="BL48" s="72"/>
      <c r="BO48" s="72"/>
      <c r="BP48" s="72"/>
    </row>
    <row r="49" spans="1:68" x14ac:dyDescent="0.3">
      <c r="A49" s="118" t="s">
        <v>46</v>
      </c>
      <c r="B49" s="118">
        <f>B48^2</f>
        <v>1.062193818364438E-2</v>
      </c>
      <c r="C49" s="118">
        <f>C48^2</f>
        <v>1.4615057577865556E-2</v>
      </c>
      <c r="I49" s="118"/>
      <c r="J49" s="118"/>
      <c r="K49" s="118"/>
      <c r="L49" s="118"/>
      <c r="O49" s="118"/>
      <c r="P49" s="118"/>
    </row>
    <row r="50" spans="1:68" s="129" customFormat="1" x14ac:dyDescent="0.3">
      <c r="A50" s="118" t="s">
        <v>47</v>
      </c>
      <c r="B50" s="72"/>
      <c r="C50" s="72">
        <f>SQRT(B49+C49)</f>
        <v>0.15886156162366633</v>
      </c>
      <c r="D50" s="63"/>
      <c r="E50" s="63"/>
      <c r="F50" s="72"/>
      <c r="G50" s="270"/>
      <c r="H50" s="270"/>
      <c r="I50" s="72"/>
      <c r="J50" s="72"/>
      <c r="K50" s="72"/>
      <c r="L50" s="72"/>
      <c r="M50" s="72"/>
      <c r="N50" s="72"/>
      <c r="O50" s="72"/>
      <c r="P50" s="72"/>
      <c r="S50" s="72"/>
      <c r="T50" s="72"/>
      <c r="W50" s="72"/>
      <c r="X50" s="72"/>
      <c r="AA50" s="72"/>
      <c r="AB50" s="72"/>
      <c r="AE50" s="72"/>
      <c r="AF50" s="72"/>
      <c r="AI50" s="72"/>
      <c r="AJ50" s="72"/>
      <c r="AK50" s="72"/>
      <c r="AL50" s="72"/>
      <c r="AO50" s="72"/>
      <c r="AP50" s="72"/>
      <c r="AS50" s="72"/>
      <c r="AT50" s="72"/>
      <c r="AW50" s="72"/>
      <c r="AX50" s="72"/>
      <c r="BA50" s="72"/>
      <c r="BB50" s="72"/>
      <c r="BE50" s="72"/>
      <c r="BF50" s="72"/>
      <c r="BG50" s="72"/>
      <c r="BH50" s="72"/>
      <c r="BK50" s="72"/>
      <c r="BL50" s="72"/>
      <c r="BO50" s="72"/>
      <c r="BP50" s="72"/>
    </row>
    <row r="51" spans="1:68" s="129" customFormat="1" x14ac:dyDescent="0.3">
      <c r="A51" s="118" t="s">
        <v>48</v>
      </c>
      <c r="B51" s="72"/>
      <c r="C51" s="77">
        <f>C50/C36</f>
        <v>3.3072363472615669E-2</v>
      </c>
      <c r="D51" s="63"/>
      <c r="E51" s="63"/>
      <c r="F51" s="77"/>
      <c r="G51" s="270"/>
      <c r="H51" s="277"/>
      <c r="I51" s="72"/>
      <c r="J51" s="77"/>
      <c r="K51" s="72"/>
      <c r="L51" s="77"/>
      <c r="M51" s="72"/>
      <c r="N51" s="77"/>
      <c r="O51" s="72"/>
      <c r="P51" s="77"/>
      <c r="S51" s="72"/>
      <c r="T51" s="77"/>
      <c r="W51" s="72"/>
      <c r="X51" s="77"/>
      <c r="AA51" s="72"/>
      <c r="AB51" s="77"/>
      <c r="AE51" s="72"/>
      <c r="AF51" s="77"/>
      <c r="AI51" s="72"/>
      <c r="AJ51" s="77"/>
      <c r="AK51" s="72"/>
      <c r="AL51" s="77"/>
      <c r="AO51" s="72"/>
      <c r="AP51" s="77"/>
      <c r="AS51" s="72"/>
      <c r="AT51" s="77"/>
      <c r="AW51" s="72"/>
      <c r="AX51" s="77"/>
      <c r="BA51" s="72"/>
      <c r="BB51" s="77"/>
      <c r="BE51" s="72"/>
      <c r="BF51" s="77"/>
      <c r="BG51" s="72"/>
      <c r="BH51" s="77"/>
      <c r="BK51" s="72"/>
      <c r="BL51" s="77"/>
      <c r="BO51" s="72"/>
      <c r="BP51" s="77"/>
    </row>
    <row r="52" spans="1:68" s="129" customFormat="1" x14ac:dyDescent="0.3">
      <c r="A52" s="118"/>
      <c r="B52" s="72"/>
      <c r="C52" s="144"/>
      <c r="D52" s="63"/>
      <c r="E52" s="63"/>
      <c r="F52" s="144"/>
      <c r="G52" s="270"/>
      <c r="H52" s="277"/>
      <c r="I52" s="63"/>
      <c r="J52" s="63"/>
      <c r="K52" s="63"/>
      <c r="L52" s="63"/>
      <c r="M52" s="72"/>
      <c r="N52" s="144"/>
      <c r="O52" s="63"/>
      <c r="P52" s="63"/>
      <c r="AS52" s="72"/>
      <c r="AT52" s="144"/>
      <c r="AW52" s="72"/>
      <c r="AX52" s="144"/>
      <c r="BA52" s="72"/>
      <c r="BB52" s="144"/>
      <c r="BE52" s="72"/>
      <c r="BF52" s="144"/>
      <c r="BG52" s="72"/>
      <c r="BH52" s="144"/>
      <c r="BK52" s="72"/>
      <c r="BL52" s="144"/>
      <c r="BO52" s="72"/>
      <c r="BP52" s="144"/>
    </row>
    <row r="53" spans="1:68" s="129" customFormat="1" x14ac:dyDescent="0.3">
      <c r="A53" s="118" t="s">
        <v>89</v>
      </c>
      <c r="B53" s="72">
        <f>MEDIAN(B50:C50)</f>
        <v>0.15886156162366633</v>
      </c>
      <c r="C53" s="144"/>
      <c r="D53" s="63"/>
      <c r="E53" s="63"/>
      <c r="F53" s="144"/>
      <c r="G53" s="270"/>
      <c r="H53" s="277"/>
      <c r="I53" s="72"/>
      <c r="J53" s="63"/>
      <c r="K53" s="63"/>
      <c r="L53" s="63"/>
      <c r="M53" s="72"/>
      <c r="N53" s="144"/>
      <c r="O53" s="63"/>
      <c r="P53" s="63"/>
      <c r="AB53" s="72"/>
      <c r="AS53" s="72"/>
      <c r="AT53" s="144"/>
      <c r="AW53" s="72"/>
      <c r="AX53" s="144"/>
      <c r="BA53" s="72"/>
      <c r="BB53" s="144"/>
      <c r="BE53" s="72"/>
      <c r="BF53" s="144"/>
      <c r="BG53" s="72"/>
      <c r="BH53" s="144"/>
      <c r="BK53" s="72"/>
      <c r="BL53" s="144"/>
      <c r="BO53" s="72"/>
      <c r="BP53" s="144"/>
    </row>
    <row r="54" spans="1:68" s="129" customFormat="1" x14ac:dyDescent="0.3">
      <c r="A54" s="118" t="s">
        <v>81</v>
      </c>
      <c r="B54" s="72">
        <f>AVERAGE(B50:C50)</f>
        <v>0.15886156162366633</v>
      </c>
      <c r="C54" s="144"/>
      <c r="D54" s="63"/>
      <c r="E54" s="63"/>
      <c r="F54" s="144"/>
      <c r="G54" s="270"/>
      <c r="H54" s="277"/>
      <c r="I54" s="72"/>
      <c r="J54" s="63"/>
      <c r="K54" s="63"/>
      <c r="L54" s="63"/>
      <c r="M54" s="72"/>
      <c r="N54" s="144"/>
      <c r="O54" s="63"/>
      <c r="P54" s="63"/>
      <c r="AB54" s="72"/>
      <c r="AS54" s="72"/>
      <c r="AT54" s="144"/>
      <c r="AW54" s="72"/>
      <c r="AX54" s="144"/>
      <c r="BA54" s="72"/>
      <c r="BB54" s="144"/>
      <c r="BE54" s="72"/>
      <c r="BF54" s="144"/>
      <c r="BG54" s="72"/>
      <c r="BH54" s="144"/>
      <c r="BK54" s="72"/>
      <c r="BL54" s="144"/>
      <c r="BO54" s="72"/>
      <c r="BP54" s="144"/>
    </row>
    <row r="55" spans="1:68" s="129" customFormat="1" x14ac:dyDescent="0.3">
      <c r="A55" s="118" t="s">
        <v>82</v>
      </c>
      <c r="B55" s="72" t="e">
        <f>STDEV(B50:C50)</f>
        <v>#DIV/0!</v>
      </c>
      <c r="C55" s="144"/>
      <c r="D55" s="63"/>
      <c r="E55" s="63"/>
      <c r="F55" s="144"/>
      <c r="G55" s="270"/>
      <c r="H55" s="277"/>
      <c r="I55" s="72"/>
      <c r="J55" s="63"/>
      <c r="K55" s="63"/>
      <c r="L55" s="63"/>
      <c r="M55" s="72"/>
      <c r="N55" s="144"/>
      <c r="O55" s="63"/>
      <c r="P55" s="63"/>
      <c r="AB55" s="72"/>
      <c r="AS55" s="72"/>
      <c r="AT55" s="144"/>
      <c r="AW55" s="72"/>
      <c r="AX55" s="144"/>
      <c r="BA55" s="72"/>
      <c r="BB55" s="144"/>
      <c r="BE55" s="72"/>
      <c r="BF55" s="144"/>
      <c r="BG55" s="72"/>
      <c r="BH55" s="144"/>
      <c r="BK55" s="72"/>
      <c r="BL55" s="144"/>
      <c r="BO55" s="72"/>
      <c r="BP55" s="144"/>
    </row>
    <row r="56" spans="1:68" s="129" customFormat="1" x14ac:dyDescent="0.3">
      <c r="A56" s="118" t="s">
        <v>83</v>
      </c>
      <c r="B56" s="72"/>
      <c r="C56" s="144"/>
      <c r="D56" s="63"/>
      <c r="E56" s="63"/>
      <c r="F56" s="144"/>
      <c r="G56" s="270"/>
      <c r="H56" s="277"/>
      <c r="I56" s="72"/>
      <c r="J56" s="63"/>
      <c r="K56" s="63"/>
      <c r="L56" s="63"/>
      <c r="M56" s="72"/>
      <c r="N56" s="144"/>
      <c r="O56" s="63"/>
      <c r="P56" s="63"/>
      <c r="AB56" s="72"/>
      <c r="AS56" s="72"/>
      <c r="AT56" s="144"/>
      <c r="AW56" s="72"/>
      <c r="AX56" s="144"/>
      <c r="BA56" s="72"/>
      <c r="BB56" s="144"/>
      <c r="BE56" s="72"/>
      <c r="BF56" s="144"/>
      <c r="BG56" s="72"/>
      <c r="BH56" s="144"/>
      <c r="BK56" s="72"/>
      <c r="BL56" s="144"/>
      <c r="BO56" s="72"/>
      <c r="BP56" s="144"/>
    </row>
    <row r="57" spans="1:68" s="129" customFormat="1" x14ac:dyDescent="0.3">
      <c r="A57" s="118"/>
      <c r="B57" s="72"/>
      <c r="C57" s="72"/>
      <c r="D57" s="63"/>
      <c r="E57" s="63"/>
      <c r="F57" s="72"/>
      <c r="G57" s="270"/>
      <c r="H57" s="270"/>
      <c r="I57" s="72"/>
      <c r="J57" s="63"/>
      <c r="K57" s="63"/>
      <c r="L57" s="63"/>
      <c r="M57" s="72"/>
      <c r="N57" s="72"/>
      <c r="O57" s="63"/>
      <c r="P57" s="63"/>
      <c r="AB57" s="72"/>
      <c r="AS57" s="72"/>
      <c r="AT57" s="72"/>
      <c r="AW57" s="72"/>
      <c r="AX57" s="72"/>
      <c r="BA57" s="72"/>
      <c r="BB57" s="72"/>
      <c r="BE57" s="72"/>
      <c r="BF57" s="72"/>
      <c r="BG57" s="72"/>
      <c r="BH57" s="72"/>
      <c r="BK57" s="72"/>
      <c r="BL57" s="72"/>
      <c r="BO57" s="72"/>
      <c r="BP57" s="72"/>
    </row>
    <row r="58" spans="1:68" s="129" customFormat="1" x14ac:dyDescent="0.3">
      <c r="B58" s="139"/>
      <c r="C58" s="139"/>
      <c r="D58" s="63"/>
      <c r="E58" s="63"/>
      <c r="F58" s="139"/>
      <c r="G58" s="272"/>
      <c r="H58" s="272"/>
      <c r="I58" s="139"/>
      <c r="J58" s="63"/>
      <c r="K58" s="63"/>
      <c r="L58" s="63"/>
      <c r="M58" s="139"/>
      <c r="N58" s="139"/>
      <c r="O58" s="63"/>
      <c r="P58" s="63"/>
      <c r="AB58" s="139"/>
      <c r="AS58" s="139"/>
      <c r="AT58" s="139"/>
      <c r="AW58" s="139"/>
      <c r="AX58" s="139"/>
      <c r="BA58" s="139"/>
      <c r="BB58" s="139"/>
      <c r="BE58" s="139"/>
      <c r="BF58" s="139"/>
      <c r="BG58" s="139"/>
      <c r="BH58" s="139"/>
      <c r="BK58" s="139"/>
      <c r="BL58" s="139"/>
      <c r="BO58" s="139"/>
      <c r="BP58" s="139"/>
    </row>
    <row r="59" spans="1:68" x14ac:dyDescent="0.3">
      <c r="A59" s="139" t="s">
        <v>115</v>
      </c>
      <c r="B59" s="166"/>
      <c r="G59" s="274"/>
      <c r="I59" s="278"/>
      <c r="M59" s="147"/>
      <c r="AB59" s="166"/>
      <c r="AS59" s="166"/>
      <c r="AW59" s="166"/>
      <c r="BA59" s="166"/>
      <c r="BE59" s="166"/>
      <c r="BG59" s="166"/>
      <c r="BK59" s="166"/>
      <c r="BO59" s="166"/>
    </row>
    <row r="60" spans="1:68" x14ac:dyDescent="0.3">
      <c r="A60" s="129" t="s">
        <v>116</v>
      </c>
      <c r="B60" s="166"/>
      <c r="G60" s="274"/>
      <c r="I60" s="278"/>
      <c r="AB60" s="166"/>
      <c r="AS60" s="166"/>
      <c r="AW60" s="166"/>
      <c r="BA60" s="166"/>
      <c r="BE60" s="166"/>
      <c r="BG60" s="166"/>
      <c r="BK60" s="166"/>
      <c r="BO60" s="166"/>
    </row>
    <row r="61" spans="1:68" x14ac:dyDescent="0.3">
      <c r="A61" s="129" t="s">
        <v>117</v>
      </c>
      <c r="B61" s="166"/>
      <c r="G61" s="276"/>
      <c r="I61" s="279"/>
      <c r="M61" s="141"/>
      <c r="AB61" s="167"/>
      <c r="AS61" s="166"/>
      <c r="AW61" s="166"/>
      <c r="BA61" s="166"/>
      <c r="BE61" s="166"/>
      <c r="BG61" s="166"/>
      <c r="BK61" s="166"/>
      <c r="BO61" s="166"/>
    </row>
    <row r="62" spans="1:68" x14ac:dyDescent="0.3">
      <c r="A62" s="129" t="s">
        <v>118</v>
      </c>
      <c r="B62" s="166"/>
      <c r="G62" s="274"/>
      <c r="I62" s="278"/>
      <c r="AB62" s="166"/>
      <c r="AS62" s="166"/>
      <c r="AW62" s="166"/>
      <c r="BA62" s="166"/>
      <c r="BE62" s="166"/>
      <c r="BG62" s="166"/>
      <c r="BK62" s="166"/>
      <c r="BO62" s="166"/>
    </row>
    <row r="63" spans="1:68" x14ac:dyDescent="0.3">
      <c r="I63" s="280"/>
    </row>
  </sheetData>
  <mergeCells count="22">
    <mergeCell ref="AA10:AB10"/>
    <mergeCell ref="Q10:R10"/>
    <mergeCell ref="B10:C10"/>
    <mergeCell ref="D10:E10"/>
    <mergeCell ref="F10:G10"/>
    <mergeCell ref="W10:X10"/>
    <mergeCell ref="AA19:AB19"/>
    <mergeCell ref="B34:C34"/>
    <mergeCell ref="M34:N34"/>
    <mergeCell ref="BK10:BL10"/>
    <mergeCell ref="BO10:BP10"/>
    <mergeCell ref="B19:C19"/>
    <mergeCell ref="M19:N19"/>
    <mergeCell ref="Y19:Z19"/>
    <mergeCell ref="S10:T10"/>
    <mergeCell ref="AE10:AF10"/>
    <mergeCell ref="AI10:AJ10"/>
    <mergeCell ref="AK10:AL10"/>
    <mergeCell ref="I10:J10"/>
    <mergeCell ref="K10:L10"/>
    <mergeCell ref="M10:N10"/>
    <mergeCell ref="O10:P10"/>
  </mergeCells>
  <pageMargins left="0.7" right="0.7" top="0.75" bottom="0.75" header="0.3" footer="0.3"/>
  <pageSetup scale="1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63"/>
  <sheetViews>
    <sheetView zoomScale="85" zoomScaleNormal="85" workbookViewId="0">
      <pane xSplit="1" ySplit="2" topLeftCell="C3" activePane="bottomRight" state="frozenSplit"/>
      <selection pane="topRight"/>
      <selection pane="bottomLeft" activeCell="A3" sqref="A3"/>
      <selection pane="bottomRight" activeCell="R40" sqref="R40"/>
    </sheetView>
  </sheetViews>
  <sheetFormatPr defaultColWidth="9.109375" defaultRowHeight="14.4" x14ac:dyDescent="0.3"/>
  <cols>
    <col min="1" max="1" width="28" style="118" customWidth="1"/>
    <col min="2" max="3" width="11.6640625" style="118" customWidth="1"/>
    <col min="4" max="4" width="9.109375" style="63" customWidth="1"/>
    <col min="5" max="5" width="10" style="63" customWidth="1"/>
    <col min="6" max="6" width="11.6640625" style="280" customWidth="1"/>
    <col min="7" max="11" width="9.109375" style="74" customWidth="1"/>
    <col min="12" max="12" width="11.6640625" style="118" customWidth="1"/>
    <col min="13" max="14" width="9.109375" style="63" customWidth="1"/>
    <col min="15" max="16384" width="9.109375" style="118"/>
  </cols>
  <sheetData>
    <row r="1" spans="1:68" s="127" customFormat="1" x14ac:dyDescent="0.3">
      <c r="A1" s="120" t="s">
        <v>39</v>
      </c>
      <c r="B1" s="120"/>
      <c r="C1" s="120"/>
      <c r="D1" s="67"/>
      <c r="E1" s="67"/>
      <c r="F1" s="290"/>
      <c r="G1" s="87"/>
      <c r="H1" s="87"/>
      <c r="I1" s="87"/>
      <c r="J1" s="87"/>
      <c r="K1" s="87"/>
      <c r="L1" s="120"/>
      <c r="M1" s="67"/>
      <c r="N1" s="67"/>
    </row>
    <row r="2" spans="1:68" s="249" customFormat="1" x14ac:dyDescent="0.3">
      <c r="B2" s="116"/>
      <c r="C2" s="116" t="s">
        <v>188</v>
      </c>
      <c r="D2" s="61"/>
      <c r="E2" s="61" t="s">
        <v>359</v>
      </c>
      <c r="F2" s="291"/>
      <c r="G2" s="83" t="s">
        <v>361</v>
      </c>
      <c r="H2" s="291"/>
      <c r="I2" s="83" t="s">
        <v>362</v>
      </c>
      <c r="J2" s="291"/>
      <c r="K2" s="83" t="s">
        <v>363</v>
      </c>
      <c r="L2" s="61"/>
      <c r="M2" s="61" t="s">
        <v>365</v>
      </c>
      <c r="N2" s="116"/>
      <c r="O2" s="116" t="s">
        <v>20</v>
      </c>
      <c r="P2" s="61"/>
      <c r="Q2" s="61" t="s">
        <v>367</v>
      </c>
      <c r="R2" s="116"/>
      <c r="S2" s="116" t="s">
        <v>366</v>
      </c>
      <c r="T2" s="61"/>
      <c r="U2" s="83" t="s">
        <v>368</v>
      </c>
      <c r="V2" s="116"/>
      <c r="W2" s="61" t="s">
        <v>369</v>
      </c>
      <c r="X2" s="61"/>
      <c r="Y2" s="61"/>
      <c r="Z2" s="116"/>
      <c r="AA2" s="116"/>
      <c r="AB2" s="61"/>
      <c r="AC2" s="61"/>
      <c r="AD2" s="116"/>
      <c r="AE2" s="116"/>
      <c r="AF2" s="61"/>
      <c r="AG2" s="83"/>
      <c r="AH2" s="256"/>
      <c r="AI2" s="256"/>
      <c r="AJ2" s="256"/>
      <c r="AK2" s="253"/>
      <c r="AL2" s="257"/>
      <c r="AM2" s="83"/>
      <c r="AN2" s="256"/>
      <c r="AO2" s="116"/>
      <c r="AP2" s="61"/>
      <c r="AQ2" s="61"/>
      <c r="AR2" s="116"/>
      <c r="AS2" s="116"/>
      <c r="AT2" s="61"/>
      <c r="AU2" s="61"/>
      <c r="AV2" s="116"/>
      <c r="AW2" s="116"/>
      <c r="AX2" s="61"/>
      <c r="AY2" s="61"/>
      <c r="AZ2" s="116"/>
      <c r="BA2" s="116"/>
      <c r="BB2" s="61"/>
      <c r="BC2" s="61"/>
      <c r="BD2" s="116"/>
      <c r="BE2" s="61"/>
      <c r="BF2" s="116"/>
      <c r="BG2" s="116"/>
      <c r="BH2" s="61"/>
      <c r="BI2" s="61"/>
      <c r="BJ2" s="116"/>
      <c r="BK2" s="116"/>
      <c r="BL2" s="61"/>
      <c r="BM2" s="61"/>
      <c r="BN2" s="116"/>
      <c r="BO2" s="116"/>
      <c r="BP2" s="61"/>
    </row>
    <row r="3" spans="1:68" s="249" customFormat="1" x14ac:dyDescent="0.3">
      <c r="B3" s="116" t="s">
        <v>61</v>
      </c>
      <c r="C3" s="116" t="s">
        <v>60</v>
      </c>
      <c r="D3" s="61"/>
      <c r="E3" s="61"/>
      <c r="F3" s="116" t="s">
        <v>61</v>
      </c>
      <c r="G3" s="116" t="s">
        <v>60</v>
      </c>
      <c r="H3" s="116" t="s">
        <v>61</v>
      </c>
      <c r="I3" s="116" t="s">
        <v>60</v>
      </c>
      <c r="J3" s="116" t="s">
        <v>61</v>
      </c>
      <c r="K3" s="116" t="s">
        <v>60</v>
      </c>
      <c r="L3" s="116"/>
      <c r="M3" s="61"/>
      <c r="N3" s="74"/>
      <c r="O3" s="118"/>
      <c r="AM3" s="259"/>
      <c r="AN3" s="259"/>
      <c r="AQ3" s="118"/>
      <c r="AR3" s="118"/>
    </row>
    <row r="4" spans="1:68" x14ac:dyDescent="0.3">
      <c r="A4" s="118" t="s">
        <v>1</v>
      </c>
      <c r="B4" s="118">
        <v>420.60500000000002</v>
      </c>
      <c r="C4" s="118">
        <f>960-570.19</f>
        <v>389.80999999999995</v>
      </c>
      <c r="D4" s="63">
        <v>1076</v>
      </c>
      <c r="E4" s="63">
        <v>241</v>
      </c>
      <c r="F4" s="118">
        <v>610.36</v>
      </c>
      <c r="G4" s="118">
        <f>960-601.185</f>
        <v>358.81500000000005</v>
      </c>
      <c r="H4" s="118">
        <v>602.47400000000005</v>
      </c>
      <c r="I4" s="118">
        <f>960-506.057</f>
        <v>453.94299999999998</v>
      </c>
      <c r="J4" s="118">
        <v>602.47400000000005</v>
      </c>
      <c r="K4" s="118">
        <f>960-506.057</f>
        <v>453.94299999999998</v>
      </c>
      <c r="L4" s="118">
        <v>1065</v>
      </c>
      <c r="M4" s="74">
        <v>335</v>
      </c>
      <c r="N4" s="74">
        <v>465.88200000000001</v>
      </c>
      <c r="O4" s="118">
        <f>960-726.559</f>
        <v>233.44100000000003</v>
      </c>
      <c r="P4" s="217">
        <v>857</v>
      </c>
      <c r="Q4" s="217">
        <v>418</v>
      </c>
      <c r="R4" s="217">
        <v>624.60400000000004</v>
      </c>
      <c r="S4" s="118">
        <f>960-481.652</f>
        <v>478.34800000000001</v>
      </c>
      <c r="T4" s="118">
        <v>618</v>
      </c>
      <c r="U4" s="217">
        <v>380</v>
      </c>
      <c r="V4" s="118">
        <v>855</v>
      </c>
      <c r="W4" s="217">
        <v>409</v>
      </c>
      <c r="X4" s="217"/>
      <c r="Y4" s="217"/>
      <c r="Z4" s="217"/>
      <c r="AA4" s="217"/>
      <c r="AB4" s="217"/>
      <c r="AC4" s="217"/>
      <c r="AD4" s="217"/>
      <c r="AE4" s="217"/>
      <c r="AF4" s="217"/>
      <c r="AG4" s="217"/>
      <c r="AH4" s="217"/>
      <c r="AI4" s="217"/>
      <c r="AJ4" s="217"/>
      <c r="AK4" s="217"/>
      <c r="AL4" s="217"/>
      <c r="AM4" s="260"/>
      <c r="AN4" s="258"/>
      <c r="AT4" s="217"/>
      <c r="BG4" s="63"/>
      <c r="BH4" s="63"/>
      <c r="BL4" s="217"/>
      <c r="BP4" s="217"/>
    </row>
    <row r="5" spans="1:68" x14ac:dyDescent="0.3">
      <c r="A5" s="118" t="s">
        <v>2</v>
      </c>
      <c r="B5" s="118">
        <v>357.75099999999998</v>
      </c>
      <c r="C5" s="118">
        <f>960-477.888</f>
        <v>482.11200000000002</v>
      </c>
      <c r="D5" s="63">
        <v>517</v>
      </c>
      <c r="E5" s="63">
        <v>281</v>
      </c>
      <c r="F5" s="118">
        <v>608.029</v>
      </c>
      <c r="G5" s="118">
        <f>960-588.775</f>
        <v>371.22500000000002</v>
      </c>
      <c r="H5" s="118">
        <v>583.30499999999995</v>
      </c>
      <c r="I5" s="118">
        <f>960-520.727</f>
        <v>439.27300000000002</v>
      </c>
      <c r="J5" s="118">
        <v>656.46600000000001</v>
      </c>
      <c r="K5" s="118">
        <f>960-536.05</f>
        <v>423.95000000000005</v>
      </c>
      <c r="L5" s="74">
        <v>658</v>
      </c>
      <c r="M5" s="74">
        <v>350</v>
      </c>
      <c r="N5" s="74">
        <v>500.77499999999998</v>
      </c>
      <c r="O5" s="219">
        <f>960-707.355</f>
        <v>252.64499999999998</v>
      </c>
      <c r="P5" s="118">
        <v>326</v>
      </c>
      <c r="Q5" s="118">
        <v>446</v>
      </c>
      <c r="R5" s="219">
        <v>658.93200000000002</v>
      </c>
      <c r="S5" s="219">
        <f>960-534.125</f>
        <v>425.875</v>
      </c>
      <c r="T5" s="219">
        <v>603</v>
      </c>
      <c r="U5" s="219">
        <v>378</v>
      </c>
      <c r="V5" s="118">
        <v>263</v>
      </c>
      <c r="W5" s="118">
        <v>435</v>
      </c>
      <c r="Y5" s="217"/>
      <c r="Z5" s="217"/>
      <c r="AA5" s="217"/>
      <c r="AB5" s="217"/>
      <c r="AC5" s="217"/>
      <c r="AD5" s="217"/>
      <c r="AE5" s="217"/>
      <c r="AF5" s="217"/>
      <c r="AG5" s="217"/>
      <c r="AH5" s="217"/>
      <c r="AI5" s="217"/>
      <c r="AJ5" s="217"/>
      <c r="AK5" s="217"/>
      <c r="AL5" s="217"/>
      <c r="AM5" s="260"/>
      <c r="AN5" s="258"/>
      <c r="AT5" s="217"/>
      <c r="BG5" s="63"/>
      <c r="BH5" s="63"/>
      <c r="BL5" s="217"/>
      <c r="BP5" s="217"/>
    </row>
    <row r="6" spans="1:68" x14ac:dyDescent="0.3">
      <c r="A6" s="118" t="s">
        <v>4</v>
      </c>
      <c r="B6" s="118">
        <f t="shared" ref="B6:G6" si="0">B5-B4</f>
        <v>-62.854000000000042</v>
      </c>
      <c r="C6" s="118">
        <f t="shared" si="0"/>
        <v>92.302000000000078</v>
      </c>
      <c r="D6" s="63">
        <f t="shared" si="0"/>
        <v>-559</v>
      </c>
      <c r="E6" s="63">
        <f t="shared" si="0"/>
        <v>40</v>
      </c>
      <c r="F6" s="118">
        <f t="shared" si="0"/>
        <v>-2.3310000000000173</v>
      </c>
      <c r="G6" s="118">
        <f t="shared" si="0"/>
        <v>12.409999999999968</v>
      </c>
      <c r="H6" s="118">
        <f t="shared" ref="H6:W6" si="1">H5-H4</f>
        <v>-19.169000000000096</v>
      </c>
      <c r="I6" s="118">
        <f t="shared" si="1"/>
        <v>-14.669999999999959</v>
      </c>
      <c r="J6" s="118">
        <f t="shared" si="1"/>
        <v>53.991999999999962</v>
      </c>
      <c r="K6" s="118">
        <f t="shared" si="1"/>
        <v>-29.992999999999938</v>
      </c>
      <c r="L6" s="118">
        <f t="shared" si="1"/>
        <v>-407</v>
      </c>
      <c r="M6" s="118">
        <f t="shared" si="1"/>
        <v>15</v>
      </c>
      <c r="N6" s="118">
        <f t="shared" si="1"/>
        <v>34.892999999999972</v>
      </c>
      <c r="O6" s="118">
        <f t="shared" si="1"/>
        <v>19.203999999999951</v>
      </c>
      <c r="P6" s="118">
        <f t="shared" si="1"/>
        <v>-531</v>
      </c>
      <c r="Q6" s="118">
        <f t="shared" si="1"/>
        <v>28</v>
      </c>
      <c r="R6" s="118">
        <f>R5-R4</f>
        <v>34.327999999999975</v>
      </c>
      <c r="S6" s="118">
        <f>S5-S4</f>
        <v>-52.473000000000013</v>
      </c>
      <c r="T6" s="118">
        <f t="shared" si="1"/>
        <v>-15</v>
      </c>
      <c r="U6" s="118">
        <f t="shared" si="1"/>
        <v>-2</v>
      </c>
      <c r="V6" s="118">
        <f t="shared" si="1"/>
        <v>-592</v>
      </c>
      <c r="W6" s="118">
        <f t="shared" si="1"/>
        <v>26</v>
      </c>
      <c r="X6" s="63"/>
      <c r="Y6" s="74"/>
      <c r="Z6" s="74"/>
      <c r="AA6" s="63"/>
      <c r="AB6" s="63"/>
      <c r="AC6" s="74"/>
      <c r="AD6" s="74"/>
      <c r="AE6" s="63"/>
      <c r="AF6" s="63"/>
      <c r="AG6" s="74"/>
      <c r="AH6" s="74"/>
      <c r="AI6" s="74"/>
      <c r="AJ6" s="74"/>
      <c r="AK6" s="63"/>
      <c r="AL6" s="63"/>
      <c r="AM6" s="74"/>
      <c r="AN6" s="74"/>
      <c r="AO6" s="63"/>
      <c r="AP6" s="63"/>
      <c r="AQ6" s="74"/>
      <c r="AR6" s="74"/>
      <c r="AS6" s="63"/>
      <c r="AT6" s="63"/>
      <c r="AU6" s="74"/>
      <c r="AV6" s="74"/>
      <c r="AW6" s="63"/>
      <c r="AX6" s="63"/>
      <c r="AY6" s="74"/>
      <c r="AZ6" s="74"/>
      <c r="BA6" s="63"/>
      <c r="BB6" s="63"/>
      <c r="BC6" s="74"/>
      <c r="BD6" s="74"/>
      <c r="BE6" s="74"/>
      <c r="BF6" s="74"/>
      <c r="BG6" s="63"/>
      <c r="BH6" s="63"/>
      <c r="BI6" s="74"/>
      <c r="BJ6" s="74"/>
      <c r="BK6" s="63"/>
      <c r="BL6" s="63"/>
      <c r="BM6" s="74"/>
      <c r="BN6" s="74"/>
      <c r="BO6" s="63"/>
      <c r="BP6" s="63"/>
    </row>
    <row r="7" spans="1:68" x14ac:dyDescent="0.3">
      <c r="A7" s="118" t="s">
        <v>5</v>
      </c>
      <c r="B7" s="118">
        <f t="shared" ref="B7:G7" si="2">B6^2</f>
        <v>3950.6253160000051</v>
      </c>
      <c r="C7" s="118">
        <f t="shared" si="2"/>
        <v>8519.6592040000141</v>
      </c>
      <c r="D7" s="63">
        <f t="shared" si="2"/>
        <v>312481</v>
      </c>
      <c r="E7" s="63">
        <f t="shared" si="2"/>
        <v>1600</v>
      </c>
      <c r="F7" s="118">
        <f t="shared" si="2"/>
        <v>5.4335610000000809</v>
      </c>
      <c r="G7" s="118">
        <f t="shared" si="2"/>
        <v>154.00809999999922</v>
      </c>
      <c r="H7" s="118">
        <f t="shared" ref="H7:W7" si="3">H6^2</f>
        <v>367.45056100000369</v>
      </c>
      <c r="I7" s="118">
        <f t="shared" si="3"/>
        <v>215.20889999999881</v>
      </c>
      <c r="J7" s="118">
        <f t="shared" si="3"/>
        <v>2915.1360639999957</v>
      </c>
      <c r="K7" s="118">
        <f t="shared" si="3"/>
        <v>899.58004899999628</v>
      </c>
      <c r="L7" s="118">
        <f t="shared" si="3"/>
        <v>165649</v>
      </c>
      <c r="M7" s="118">
        <f t="shared" si="3"/>
        <v>225</v>
      </c>
      <c r="N7" s="118">
        <f t="shared" si="3"/>
        <v>1217.521448999998</v>
      </c>
      <c r="O7" s="118">
        <f t="shared" si="3"/>
        <v>368.79361599999811</v>
      </c>
      <c r="P7" s="118">
        <f t="shared" si="3"/>
        <v>281961</v>
      </c>
      <c r="Q7" s="118">
        <f t="shared" si="3"/>
        <v>784</v>
      </c>
      <c r="R7" s="118">
        <f>R6^2</f>
        <v>1178.4115839999984</v>
      </c>
      <c r="S7" s="118">
        <f>S6^2</f>
        <v>2753.4157290000012</v>
      </c>
      <c r="T7" s="118">
        <f t="shared" si="3"/>
        <v>225</v>
      </c>
      <c r="U7" s="118">
        <f t="shared" si="3"/>
        <v>4</v>
      </c>
      <c r="V7" s="118">
        <f t="shared" si="3"/>
        <v>350464</v>
      </c>
      <c r="W7" s="118">
        <f t="shared" si="3"/>
        <v>676</v>
      </c>
      <c r="X7" s="63"/>
      <c r="Y7" s="74"/>
      <c r="Z7" s="74"/>
      <c r="AA7" s="63"/>
      <c r="AB7" s="63"/>
      <c r="AC7" s="74"/>
      <c r="AD7" s="74"/>
      <c r="AE7" s="63"/>
      <c r="AF7" s="63"/>
      <c r="AG7" s="74"/>
      <c r="AH7" s="74"/>
      <c r="AI7" s="74"/>
      <c r="AJ7" s="74"/>
      <c r="AK7" s="63"/>
      <c r="AL7" s="63"/>
      <c r="AM7" s="74"/>
      <c r="AN7" s="74"/>
      <c r="AO7" s="63"/>
      <c r="AP7" s="63"/>
      <c r="AQ7" s="74"/>
      <c r="AR7" s="74"/>
      <c r="AS7" s="63"/>
      <c r="AT7" s="63"/>
      <c r="AU7" s="74"/>
      <c r="AV7" s="74"/>
      <c r="AW7" s="63"/>
      <c r="AX7" s="63"/>
      <c r="AY7" s="74"/>
      <c r="AZ7" s="74"/>
      <c r="BA7" s="63"/>
      <c r="BB7" s="63"/>
      <c r="BC7" s="74"/>
      <c r="BD7" s="74"/>
      <c r="BE7" s="74"/>
      <c r="BF7" s="74"/>
      <c r="BG7" s="63"/>
      <c r="BH7" s="63"/>
      <c r="BI7" s="74"/>
      <c r="BJ7" s="74"/>
      <c r="BK7" s="63"/>
      <c r="BL7" s="63"/>
      <c r="BM7" s="74"/>
      <c r="BN7" s="74"/>
      <c r="BO7" s="63"/>
      <c r="BP7" s="63"/>
    </row>
    <row r="8" spans="1:68" x14ac:dyDescent="0.3">
      <c r="A8" s="118" t="s">
        <v>6</v>
      </c>
      <c r="C8" s="118">
        <f>SQRT(SUM(B7:C7))</f>
        <v>111.6704281356529</v>
      </c>
      <c r="E8" s="63">
        <f>SQRT(SUM(D7:E7))</f>
        <v>560.42929973369519</v>
      </c>
      <c r="F8" s="118"/>
      <c r="G8" s="118">
        <f>SQRT(SUM(F7:G7))</f>
        <v>12.627021065952148</v>
      </c>
      <c r="H8" s="118"/>
      <c r="I8" s="118">
        <f>SQRT(SUM(H7:I7))</f>
        <v>24.138340063061555</v>
      </c>
      <c r="J8" s="118"/>
      <c r="K8" s="118">
        <f>SQRT(SUM(J7:K7))</f>
        <v>61.763388127595398</v>
      </c>
      <c r="M8" s="118">
        <f>SQRT(SUM(L7:M7))</f>
        <v>407.27631897766901</v>
      </c>
      <c r="N8" s="118"/>
      <c r="O8" s="118">
        <f>SQRT(SUM(N7:O7))</f>
        <v>39.828570963568303</v>
      </c>
      <c r="Q8" s="118">
        <f>SQRT(SUM(P7:Q7))</f>
        <v>531.73771730055034</v>
      </c>
      <c r="S8" s="118">
        <f>SQRT(SUM(R7:S7))</f>
        <v>62.704284646266395</v>
      </c>
      <c r="U8" s="118">
        <f>SQRT(SUM(T7:U7))</f>
        <v>15.132745950421556</v>
      </c>
      <c r="W8" s="118">
        <f>SQRT(SUM(V7:W7))</f>
        <v>592.57067089082295</v>
      </c>
      <c r="X8" s="63"/>
      <c r="Y8" s="74"/>
      <c r="Z8" s="74"/>
      <c r="AA8" s="63"/>
      <c r="AB8" s="63"/>
      <c r="AC8" s="74"/>
      <c r="AD8" s="74"/>
      <c r="AE8" s="63"/>
      <c r="AF8" s="63"/>
      <c r="AG8" s="74"/>
      <c r="AH8" s="74"/>
      <c r="AI8" s="74"/>
      <c r="AJ8" s="74"/>
      <c r="AK8" s="63"/>
      <c r="AL8" s="63"/>
      <c r="AM8" s="74"/>
      <c r="AN8" s="74"/>
      <c r="AO8" s="63"/>
      <c r="AP8" s="63"/>
      <c r="AQ8" s="74"/>
      <c r="AR8" s="74"/>
      <c r="AS8" s="63"/>
      <c r="AT8" s="63"/>
      <c r="AU8" s="74"/>
      <c r="AV8" s="74"/>
      <c r="AW8" s="63"/>
      <c r="AX8" s="63"/>
      <c r="AY8" s="74"/>
      <c r="AZ8" s="74"/>
      <c r="BA8" s="63"/>
      <c r="BB8" s="63"/>
      <c r="BC8" s="74"/>
      <c r="BD8" s="74"/>
      <c r="BE8" s="74"/>
      <c r="BF8" s="74"/>
      <c r="BG8" s="63"/>
      <c r="BH8" s="63"/>
      <c r="BI8" s="74"/>
      <c r="BJ8" s="74"/>
      <c r="BK8" s="63"/>
      <c r="BL8" s="63"/>
      <c r="BM8" s="74"/>
      <c r="BN8" s="74"/>
      <c r="BO8" s="63"/>
      <c r="BP8" s="63"/>
    </row>
    <row r="9" spans="1:68" x14ac:dyDescent="0.3">
      <c r="A9" s="118" t="s">
        <v>7</v>
      </c>
      <c r="C9" s="118">
        <f>MOD(ATAN2(C6,B6)*180/PI()+270,360)</f>
        <v>235.74668978941764</v>
      </c>
      <c r="E9" s="63">
        <f>MOD(ATAN2(E6,D6)*180/PI()+270,360)</f>
        <v>184.09290075902453</v>
      </c>
      <c r="F9" s="118"/>
      <c r="G9" s="118">
        <f>MOD(ATAN2(G6,F6)*180/PI()+270,360)</f>
        <v>259.36194790493232</v>
      </c>
      <c r="H9" s="118"/>
      <c r="I9" s="118">
        <f>MOD(ATAN2(I6,H6)*180/PI()+270,360)</f>
        <v>142.57323715713773</v>
      </c>
      <c r="J9" s="118"/>
      <c r="K9" s="118">
        <f>MOD(ATAN2(K6,J6)*180/PI()+270,360)</f>
        <v>29.052531733241608</v>
      </c>
      <c r="M9" s="118">
        <f>MOD(ATAN2(M6,L6)*180/PI()+270,360)</f>
        <v>182.1106827690929</v>
      </c>
      <c r="N9" s="118"/>
      <c r="O9" s="118">
        <f>MOD(ATAN2(O6,N6)*180/PI()+270,360)</f>
        <v>331.17300897383097</v>
      </c>
      <c r="Q9" s="118">
        <f>MOD(ATAN2(Q6,P6)*180/PI()+270,360)</f>
        <v>183.01845082130566</v>
      </c>
      <c r="S9" s="118">
        <f>MOD(ATAN2(S6,R6)*180/PI()+270,360)</f>
        <v>56.807163469470083</v>
      </c>
      <c r="U9" s="118">
        <f>MOD(ATAN2(U6,T6)*180/PI()+270,360)</f>
        <v>172.40535663140855</v>
      </c>
      <c r="W9" s="118">
        <f>MOD(ATAN2(W6,V6)*180/PI()+270,360)</f>
        <v>182.51475264747285</v>
      </c>
      <c r="X9" s="63"/>
      <c r="Y9" s="74"/>
      <c r="Z9" s="74"/>
      <c r="AA9" s="63"/>
      <c r="AB9" s="63"/>
      <c r="AC9" s="74"/>
      <c r="AD9" s="74"/>
      <c r="AE9" s="63"/>
      <c r="AF9" s="63"/>
      <c r="AG9" s="74"/>
      <c r="AH9" s="74"/>
      <c r="AI9" s="74"/>
      <c r="AJ9" s="74"/>
      <c r="AK9" s="63"/>
      <c r="AL9" s="63"/>
      <c r="AM9" s="74"/>
      <c r="AN9" s="74"/>
      <c r="AO9" s="63"/>
      <c r="AP9" s="63"/>
      <c r="AQ9" s="74"/>
      <c r="AR9" s="74"/>
      <c r="AS9" s="63"/>
      <c r="AT9" s="63"/>
      <c r="AU9" s="74"/>
      <c r="AV9" s="74"/>
      <c r="AW9" s="63"/>
      <c r="AX9" s="63"/>
      <c r="AY9" s="74"/>
      <c r="AZ9" s="74"/>
      <c r="BA9" s="63"/>
      <c r="BB9" s="63"/>
      <c r="BC9" s="74"/>
      <c r="BD9" s="74"/>
      <c r="BE9" s="74"/>
      <c r="BF9" s="74"/>
      <c r="BG9" s="63"/>
      <c r="BH9" s="63"/>
      <c r="BI9" s="74"/>
      <c r="BJ9" s="74"/>
      <c r="BK9" s="63"/>
      <c r="BL9" s="63"/>
      <c r="BM9" s="74"/>
      <c r="BN9" s="74"/>
      <c r="BO9" s="63"/>
      <c r="BP9" s="63"/>
    </row>
    <row r="10" spans="1:68" s="248" customFormat="1" ht="117" customHeight="1" x14ac:dyDescent="0.3">
      <c r="A10" s="250" t="s">
        <v>40</v>
      </c>
      <c r="B10" s="430" t="s">
        <v>360</v>
      </c>
      <c r="C10" s="430"/>
      <c r="D10" s="382"/>
      <c r="E10" s="382"/>
      <c r="F10" s="430" t="s">
        <v>360</v>
      </c>
      <c r="G10" s="430"/>
      <c r="H10" s="430" t="s">
        <v>360</v>
      </c>
      <c r="I10" s="430"/>
      <c r="J10" s="430" t="s">
        <v>360</v>
      </c>
      <c r="K10" s="430"/>
      <c r="M10" s="295"/>
      <c r="N10" s="430" t="s">
        <v>360</v>
      </c>
      <c r="O10" s="430"/>
      <c r="P10" s="296"/>
      <c r="Q10" s="295"/>
      <c r="R10" s="430" t="s">
        <v>360</v>
      </c>
      <c r="S10" s="430"/>
      <c r="T10" s="430" t="s">
        <v>360</v>
      </c>
      <c r="U10" s="430"/>
      <c r="AG10" s="425"/>
      <c r="AH10" s="425"/>
      <c r="AI10" s="425"/>
      <c r="AJ10" s="425"/>
      <c r="AY10" s="74"/>
      <c r="AZ10" s="74"/>
      <c r="BI10" s="425"/>
      <c r="BJ10" s="425"/>
      <c r="BM10" s="425"/>
      <c r="BN10" s="425"/>
    </row>
    <row r="11" spans="1:68" s="127" customFormat="1" x14ac:dyDescent="0.3">
      <c r="A11" s="120" t="s">
        <v>37</v>
      </c>
      <c r="B11" s="120"/>
      <c r="C11" s="120"/>
      <c r="D11" s="67"/>
      <c r="E11" s="67"/>
      <c r="F11" s="290"/>
      <c r="G11" s="87"/>
      <c r="H11" s="87"/>
      <c r="I11" s="87"/>
      <c r="J11" s="87"/>
      <c r="K11" s="87"/>
      <c r="L11" s="120"/>
      <c r="M11" s="67"/>
      <c r="N11" s="67"/>
      <c r="O11" s="67"/>
      <c r="P11" s="67"/>
      <c r="Q11" s="67"/>
      <c r="R11" s="67"/>
    </row>
    <row r="12" spans="1:68" s="286" customFormat="1" x14ac:dyDescent="0.3">
      <c r="B12" s="286" t="s">
        <v>62</v>
      </c>
      <c r="C12" s="286" t="s">
        <v>63</v>
      </c>
      <c r="D12" s="69"/>
      <c r="E12" s="69"/>
      <c r="F12" s="292"/>
      <c r="G12" s="89"/>
      <c r="H12" s="89"/>
      <c r="I12" s="89"/>
      <c r="J12" s="89"/>
      <c r="K12" s="89"/>
      <c r="M12" s="69"/>
      <c r="N12" s="69"/>
      <c r="O12" s="69"/>
      <c r="P12" s="69"/>
      <c r="Q12" s="69"/>
      <c r="R12" s="69"/>
    </row>
    <row r="13" spans="1:68" x14ac:dyDescent="0.3">
      <c r="A13" s="118" t="s">
        <v>18</v>
      </c>
      <c r="O13" s="63"/>
      <c r="P13" s="63"/>
      <c r="Q13" s="63"/>
      <c r="R13" s="63"/>
    </row>
    <row r="14" spans="1:68" x14ac:dyDescent="0.3">
      <c r="A14" s="118" t="s">
        <v>17</v>
      </c>
      <c r="O14" s="63"/>
      <c r="P14" s="63"/>
      <c r="Q14" s="63"/>
      <c r="R14" s="63"/>
    </row>
    <row r="15" spans="1:68" x14ac:dyDescent="0.3">
      <c r="A15" s="118" t="s">
        <v>14</v>
      </c>
      <c r="O15" s="63"/>
      <c r="P15" s="63"/>
      <c r="Q15" s="63"/>
      <c r="R15" s="63"/>
    </row>
    <row r="16" spans="1:68" x14ac:dyDescent="0.3">
      <c r="A16" s="118" t="s">
        <v>13</v>
      </c>
      <c r="C16" s="147">
        <v>13.194000000000001</v>
      </c>
      <c r="E16" s="111">
        <f>8*15.0412*COS((57+48/60+52/3600)*PI()/180)</f>
        <v>64.095117446951022</v>
      </c>
      <c r="G16" s="74">
        <v>1.546</v>
      </c>
      <c r="H16" s="280"/>
      <c r="I16" s="74">
        <v>2.6019999999999999</v>
      </c>
      <c r="J16" s="280"/>
      <c r="K16" s="74">
        <v>7.1</v>
      </c>
      <c r="L16" s="63"/>
      <c r="M16" s="111">
        <f>8*15.0412*COS((67+24/60+9/3600)*PI()/180)</f>
        <v>46.237255218954658</v>
      </c>
      <c r="N16" s="280"/>
      <c r="O16" s="74">
        <v>4.6550000000000002</v>
      </c>
      <c r="P16" s="63"/>
      <c r="Q16" s="111">
        <f>5*15.0412*COS((31+53/60+17/3600)*PI()/180)</f>
        <v>63.856048306882585</v>
      </c>
      <c r="R16" s="280"/>
      <c r="S16" s="74">
        <v>7.19</v>
      </c>
      <c r="T16" s="111"/>
      <c r="U16" s="147">
        <v>1.6</v>
      </c>
      <c r="V16" s="63"/>
      <c r="W16" s="111">
        <f>5*15.0412*COS((22+30/60+24/3600)*PI()/180)</f>
        <v>69.47793493615832</v>
      </c>
      <c r="X16" s="255"/>
      <c r="AA16" s="63"/>
      <c r="AB16" s="255"/>
      <c r="AE16" s="63"/>
      <c r="AF16" s="255"/>
      <c r="AK16" s="63"/>
      <c r="AL16" s="255"/>
      <c r="AO16" s="63"/>
      <c r="AP16" s="111"/>
      <c r="AS16" s="63"/>
      <c r="AT16" s="111"/>
      <c r="AW16" s="63"/>
      <c r="AX16" s="111"/>
      <c r="BA16" s="63"/>
      <c r="BB16" s="111"/>
      <c r="BG16" s="63"/>
      <c r="BH16" s="111"/>
      <c r="BK16" s="63"/>
      <c r="BL16" s="111"/>
      <c r="BO16" s="63"/>
      <c r="BP16" s="111"/>
    </row>
    <row r="17" spans="1:68" x14ac:dyDescent="0.3">
      <c r="A17" s="118" t="s">
        <v>7</v>
      </c>
      <c r="C17" s="118">
        <v>321.54000000000002</v>
      </c>
      <c r="E17" s="63">
        <v>-90</v>
      </c>
      <c r="F17" s="293"/>
      <c r="G17" s="74">
        <v>346.99</v>
      </c>
      <c r="H17" s="280"/>
      <c r="I17" s="74">
        <v>229.05</v>
      </c>
      <c r="J17" s="280"/>
      <c r="K17" s="74">
        <v>115</v>
      </c>
      <c r="L17" s="63"/>
      <c r="M17" s="63">
        <v>-90</v>
      </c>
      <c r="N17" s="280"/>
      <c r="O17" s="74">
        <v>57.01</v>
      </c>
      <c r="P17" s="63"/>
      <c r="Q17" s="63">
        <v>-90</v>
      </c>
      <c r="R17" s="280"/>
      <c r="S17" s="74">
        <v>141.88999999999999</v>
      </c>
      <c r="T17" s="63"/>
      <c r="U17" s="118">
        <v>253.75</v>
      </c>
      <c r="V17" s="63"/>
      <c r="W17" s="63">
        <v>-90</v>
      </c>
      <c r="X17" s="63"/>
      <c r="AA17" s="63"/>
      <c r="AB17" s="63"/>
      <c r="AE17" s="63"/>
      <c r="AF17" s="63"/>
      <c r="AK17" s="63"/>
      <c r="AL17" s="63"/>
      <c r="AO17" s="63"/>
      <c r="AP17" s="63"/>
      <c r="AS17" s="63"/>
      <c r="AT17" s="63"/>
      <c r="AV17" s="141"/>
      <c r="AW17" s="63"/>
      <c r="AX17" s="63"/>
      <c r="AZ17" s="141"/>
      <c r="BA17" s="63"/>
      <c r="BB17" s="63"/>
      <c r="BG17" s="63"/>
      <c r="BH17" s="63"/>
      <c r="BK17" s="63"/>
      <c r="BL17" s="63"/>
      <c r="BO17" s="63"/>
      <c r="BP17" s="63"/>
    </row>
    <row r="18" spans="1:68" x14ac:dyDescent="0.3">
      <c r="A18" s="118" t="s">
        <v>32</v>
      </c>
      <c r="B18" s="72">
        <f>-C16*SIN((C17)/180*PI())</f>
        <v>8.2062473939543068</v>
      </c>
      <c r="C18" s="72">
        <f>C16*COS((C17)/180*PI())</f>
        <v>10.331463580210606</v>
      </c>
      <c r="D18" s="72">
        <f>-E16*SIN((E17)/180*PI())</f>
        <v>64.095117446951022</v>
      </c>
      <c r="E18" s="72">
        <f>E16*COS((E17)/180*PI())</f>
        <v>3.9263017053659285E-15</v>
      </c>
      <c r="F18" s="72">
        <f>-G16*SIN((G17)/180*PI())</f>
        <v>0.34803723694807548</v>
      </c>
      <c r="G18" s="72">
        <f>G16*COS((G17)/180*PI())</f>
        <v>1.5063153991437348</v>
      </c>
      <c r="H18" s="72">
        <f>-I16*SIN((I17)/180*PI())</f>
        <v>1.9652432755660474</v>
      </c>
      <c r="I18" s="72">
        <f>I16*COS((I17)/180*PI())</f>
        <v>-1.7053512447124879</v>
      </c>
      <c r="J18" s="72">
        <f>-K16*SIN((K17)/180*PI())</f>
        <v>-6.4347852879602154</v>
      </c>
      <c r="K18" s="72">
        <f>K16*COS((K17)/180*PI())</f>
        <v>-3.0005896583589653</v>
      </c>
      <c r="L18" s="72">
        <f>-M16*SIN((M17)/180*PI())</f>
        <v>46.237255218954658</v>
      </c>
      <c r="M18" s="72">
        <f>M16*COS((M17)/180*PI())</f>
        <v>2.8323750895358912E-15</v>
      </c>
      <c r="N18" s="72">
        <f>-O16*SIN((O17)/180*PI())</f>
        <v>-3.9044539267238365</v>
      </c>
      <c r="O18" s="72">
        <f>O16*COS((O17)/180*PI())</f>
        <v>2.5346132908376413</v>
      </c>
      <c r="P18" s="72">
        <f>-Q16*SIN((Q17)/180*PI())</f>
        <v>63.856048306882585</v>
      </c>
      <c r="Q18" s="72">
        <f>Q16*COS((Q17)/180*PI())</f>
        <v>3.9116569459873698E-15</v>
      </c>
      <c r="R18" s="72">
        <f>-S16*SIN((S17)/180*PI())</f>
        <v>-4.4374753929382198</v>
      </c>
      <c r="S18" s="72">
        <f>S16*COS((S17)/180*PI())</f>
        <v>-5.6572884085105475</v>
      </c>
      <c r="T18" s="72">
        <f>-U16*SIN((U17)/180*PI())</f>
        <v>1.5360797670174859</v>
      </c>
      <c r="U18" s="72">
        <f>U16*COS((U17)/180*PI())</f>
        <v>-0.44772642244958782</v>
      </c>
      <c r="V18" s="72">
        <f>-W16*SIN((W17)/180*PI())</f>
        <v>69.47793493615832</v>
      </c>
      <c r="W18" s="72">
        <f>W16*COS((W17)/180*PI())</f>
        <v>4.2560392318637996E-15</v>
      </c>
      <c r="X18" s="72"/>
      <c r="Y18" s="72"/>
      <c r="Z18" s="72"/>
      <c r="AA18" s="72"/>
      <c r="AB18" s="72"/>
      <c r="AC18" s="72"/>
      <c r="AD18" s="72"/>
      <c r="AE18" s="72"/>
      <c r="AF18" s="72"/>
      <c r="AG18" s="72"/>
      <c r="AH18" s="72"/>
      <c r="AI18" s="72"/>
      <c r="AJ18" s="72"/>
      <c r="AK18" s="72"/>
      <c r="AL18" s="72"/>
      <c r="AM18" s="72"/>
      <c r="AN18" s="72"/>
      <c r="AO18" s="72"/>
      <c r="AP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row>
    <row r="19" spans="1:68" s="164" customFormat="1" ht="69" customHeight="1" x14ac:dyDescent="0.3">
      <c r="A19" s="251" t="s">
        <v>40</v>
      </c>
      <c r="B19" s="388"/>
      <c r="C19" s="388"/>
      <c r="D19" s="65"/>
      <c r="E19" s="65"/>
      <c r="F19" s="289"/>
      <c r="G19" s="85"/>
      <c r="H19" s="85"/>
      <c r="I19" s="85"/>
      <c r="J19" s="431" t="s">
        <v>364</v>
      </c>
      <c r="K19" s="431"/>
      <c r="L19" s="248"/>
      <c r="M19" s="65"/>
      <c r="N19" s="65"/>
      <c r="R19" s="65"/>
      <c r="W19" s="428"/>
      <c r="X19" s="428"/>
      <c r="Y19" s="425"/>
      <c r="Z19" s="425"/>
    </row>
    <row r="20" spans="1:68" s="127" customFormat="1" x14ac:dyDescent="0.3">
      <c r="A20" s="252" t="s">
        <v>38</v>
      </c>
      <c r="D20" s="67"/>
      <c r="E20" s="67"/>
      <c r="F20" s="294"/>
      <c r="G20" s="87"/>
      <c r="H20" s="87"/>
      <c r="I20" s="87"/>
      <c r="J20" s="87"/>
      <c r="K20" s="87"/>
      <c r="M20" s="67"/>
      <c r="N20" s="67"/>
      <c r="R20" s="67"/>
    </row>
    <row r="21" spans="1:68" x14ac:dyDescent="0.3">
      <c r="A21" s="139" t="s">
        <v>65</v>
      </c>
      <c r="C21" s="118">
        <f>C16/C8</f>
        <v>0.11815124397994106</v>
      </c>
      <c r="E21" s="118">
        <f>E16/E8</f>
        <v>0.11436789168126603</v>
      </c>
      <c r="F21" s="118"/>
      <c r="G21" s="118">
        <f>G16/G8</f>
        <v>0.12243584547179363</v>
      </c>
      <c r="H21" s="118"/>
      <c r="I21" s="118">
        <f>I16/I8</f>
        <v>0.10779531621487888</v>
      </c>
      <c r="J21" s="118"/>
      <c r="K21" s="118">
        <f>K16/K8</f>
        <v>0.11495483352260877</v>
      </c>
      <c r="M21" s="118">
        <f>M16/M8</f>
        <v>0.11352797367403493</v>
      </c>
      <c r="N21" s="118"/>
      <c r="O21" s="118">
        <f>O16/O8</f>
        <v>0.11687589806468295</v>
      </c>
      <c r="Q21" s="118">
        <f>Q16/Q8</f>
        <v>0.12008937156284079</v>
      </c>
      <c r="S21" s="118">
        <f>S16/S8</f>
        <v>0.11466521052845015</v>
      </c>
      <c r="U21" s="118">
        <f>U16/U8</f>
        <v>0.10573097607281437</v>
      </c>
      <c r="W21" s="118">
        <f>W16/W8</f>
        <v>0.11724835255803463</v>
      </c>
      <c r="Y21" s="63"/>
      <c r="AC21" s="63"/>
      <c r="AG21" s="63"/>
      <c r="AI21" s="63"/>
      <c r="BG21" s="63"/>
      <c r="BK21" s="63"/>
    </row>
    <row r="22" spans="1:68" x14ac:dyDescent="0.3">
      <c r="A22" s="118" t="s">
        <v>34</v>
      </c>
      <c r="C22" s="129"/>
      <c r="F22" s="118"/>
      <c r="G22" s="129"/>
      <c r="H22" s="118"/>
      <c r="I22" s="129"/>
      <c r="J22" s="118"/>
      <c r="K22" s="129"/>
      <c r="N22" s="118"/>
      <c r="O22" s="129"/>
      <c r="Q22" s="63"/>
      <c r="S22" s="129"/>
      <c r="U22" s="129"/>
      <c r="V22" s="63"/>
      <c r="W22" s="63"/>
      <c r="Y22" s="63"/>
      <c r="Z22" s="63"/>
      <c r="AC22" s="63"/>
      <c r="AD22" s="63"/>
      <c r="AG22" s="63"/>
      <c r="AH22" s="63"/>
      <c r="AI22" s="63"/>
      <c r="AJ22" s="63"/>
      <c r="AN22" s="63"/>
      <c r="AP22" s="63"/>
      <c r="AR22" s="129"/>
      <c r="AT22" s="63"/>
      <c r="AV22" s="129"/>
      <c r="AX22" s="63"/>
      <c r="AZ22" s="129"/>
      <c r="BB22" s="63"/>
      <c r="BD22" s="129"/>
      <c r="BF22" s="129"/>
      <c r="BG22" s="63"/>
      <c r="BH22" s="63"/>
      <c r="BJ22" s="129"/>
      <c r="BK22" s="63"/>
      <c r="BL22" s="63"/>
      <c r="BN22" s="129"/>
      <c r="BP22" s="63"/>
    </row>
    <row r="23" spans="1:68" x14ac:dyDescent="0.3">
      <c r="A23" s="118" t="s">
        <v>35</v>
      </c>
      <c r="C23" s="118">
        <f>C21-$C22</f>
        <v>0.11815124397994106</v>
      </c>
      <c r="E23" s="118">
        <f>E21-$C22</f>
        <v>0.11436789168126603</v>
      </c>
      <c r="F23" s="118"/>
      <c r="G23" s="118">
        <f>G21-$C22</f>
        <v>0.12243584547179363</v>
      </c>
      <c r="H23" s="118"/>
      <c r="I23" s="118">
        <f>I21-$C22</f>
        <v>0.10779531621487888</v>
      </c>
      <c r="J23" s="118"/>
      <c r="K23" s="118">
        <f>K21-$C22</f>
        <v>0.11495483352260877</v>
      </c>
      <c r="M23" s="118">
        <f>M21-$C22</f>
        <v>0.11352797367403493</v>
      </c>
      <c r="N23" s="118"/>
      <c r="O23" s="118">
        <f>O21-$C22</f>
        <v>0.11687589806468295</v>
      </c>
      <c r="Q23" s="118">
        <f>Q21-$C22</f>
        <v>0.12008937156284079</v>
      </c>
      <c r="S23" s="118">
        <f>S21-$C22</f>
        <v>0.11466521052845015</v>
      </c>
      <c r="U23" s="118">
        <f>U21-$C22</f>
        <v>0.10573097607281437</v>
      </c>
      <c r="W23" s="118">
        <f>W21-$C22</f>
        <v>0.11724835255803463</v>
      </c>
      <c r="Y23" s="63"/>
      <c r="AC23" s="63"/>
      <c r="AG23" s="63"/>
      <c r="AI23" s="63"/>
      <c r="BG23" s="63"/>
      <c r="BK23" s="63"/>
    </row>
    <row r="24" spans="1:68" x14ac:dyDescent="0.3">
      <c r="A24" s="139" t="s">
        <v>64</v>
      </c>
      <c r="C24" s="74">
        <f>MOD(C9-C17,360)</f>
        <v>274.20668978941762</v>
      </c>
      <c r="E24" s="74">
        <f>MOD(E9-E17,360)</f>
        <v>274.09290075902453</v>
      </c>
      <c r="F24" s="118"/>
      <c r="G24" s="74">
        <f>MOD(G9-G17,360)</f>
        <v>272.37194790493231</v>
      </c>
      <c r="H24" s="118"/>
      <c r="I24" s="74">
        <f>MOD(I9-I17,360)</f>
        <v>273.52323715713771</v>
      </c>
      <c r="J24" s="118"/>
      <c r="K24" s="74">
        <f>MOD(K9-K17,360)</f>
        <v>274.05253173324161</v>
      </c>
      <c r="L24" s="74"/>
      <c r="M24" s="74">
        <f>MOD(M9-M17,360)</f>
        <v>272.11068276909293</v>
      </c>
      <c r="N24" s="118"/>
      <c r="O24" s="74">
        <f>MOD(O9-O17,360)</f>
        <v>274.16300897383098</v>
      </c>
      <c r="P24" s="74"/>
      <c r="Q24" s="74">
        <f>MOD(Q9-Q17,360)</f>
        <v>273.01845082130569</v>
      </c>
      <c r="S24" s="74">
        <f>MOD(S9-S17,360)</f>
        <v>274.9171634694701</v>
      </c>
      <c r="U24" s="74">
        <f>MOD(U9-U17,360)</f>
        <v>278.65535663140855</v>
      </c>
      <c r="V24" s="74"/>
      <c r="W24" s="74">
        <f>MOD(W9-W17,360)</f>
        <v>272.51475264747285</v>
      </c>
      <c r="X24" s="74"/>
      <c r="Y24" s="63"/>
      <c r="Z24" s="74"/>
      <c r="AB24" s="74"/>
      <c r="AC24" s="63"/>
      <c r="AD24" s="74"/>
      <c r="AF24" s="74"/>
      <c r="AG24" s="63"/>
      <c r="AH24" s="74"/>
      <c r="AI24" s="63"/>
      <c r="AJ24" s="74"/>
      <c r="AL24" s="74"/>
      <c r="AN24" s="74"/>
      <c r="AP24" s="74"/>
      <c r="AR24" s="74"/>
      <c r="AT24" s="74"/>
      <c r="AV24" s="74"/>
      <c r="AX24" s="74"/>
      <c r="AZ24" s="74"/>
      <c r="BB24" s="74"/>
      <c r="BD24" s="74"/>
      <c r="BF24" s="74"/>
      <c r="BG24" s="63"/>
      <c r="BH24" s="74"/>
      <c r="BJ24" s="74"/>
      <c r="BK24" s="63"/>
      <c r="BL24" s="74"/>
      <c r="BN24" s="74"/>
      <c r="BP24" s="74"/>
    </row>
    <row r="25" spans="1:68" x14ac:dyDescent="0.3">
      <c r="A25" s="118" t="s">
        <v>36</v>
      </c>
      <c r="F25" s="118"/>
      <c r="G25" s="118"/>
      <c r="H25" s="118"/>
      <c r="I25" s="118"/>
      <c r="J25" s="118"/>
      <c r="K25" s="118"/>
      <c r="N25" s="118"/>
      <c r="Q25" s="63"/>
      <c r="V25" s="63"/>
      <c r="W25" s="63"/>
      <c r="Y25" s="63"/>
      <c r="Z25" s="63"/>
      <c r="AC25" s="63"/>
      <c r="AD25" s="63"/>
      <c r="AG25" s="63"/>
      <c r="AH25" s="63"/>
      <c r="AI25" s="63"/>
      <c r="AJ25" s="63"/>
      <c r="AN25" s="63"/>
      <c r="AP25" s="63"/>
      <c r="AT25" s="63"/>
      <c r="AX25" s="63"/>
      <c r="BB25" s="63"/>
      <c r="BG25" s="63"/>
      <c r="BH25" s="63"/>
      <c r="BK25" s="63"/>
      <c r="BL25" s="63"/>
      <c r="BP25" s="63"/>
    </row>
    <row r="26" spans="1:68" x14ac:dyDescent="0.3">
      <c r="A26" s="118" t="s">
        <v>35</v>
      </c>
      <c r="C26" s="118">
        <f>C24-$C25</f>
        <v>274.20668978941762</v>
      </c>
      <c r="E26" s="118">
        <f>E24-$C25</f>
        <v>274.09290075902453</v>
      </c>
      <c r="F26" s="118"/>
      <c r="G26" s="118">
        <f>G24-$C25</f>
        <v>272.37194790493231</v>
      </c>
      <c r="H26" s="118"/>
      <c r="I26" s="118">
        <f>I24-$C25</f>
        <v>273.52323715713771</v>
      </c>
      <c r="J26" s="118"/>
      <c r="K26" s="118">
        <f>K24-$C25</f>
        <v>274.05253173324161</v>
      </c>
      <c r="M26" s="118">
        <f>M24-$C25</f>
        <v>272.11068276909293</v>
      </c>
      <c r="N26" s="118"/>
      <c r="O26" s="118">
        <f>O24-$C25</f>
        <v>274.16300897383098</v>
      </c>
      <c r="Q26" s="118">
        <f>Q24-$C25</f>
        <v>273.01845082130569</v>
      </c>
      <c r="S26" s="118">
        <f>S24-$C25</f>
        <v>274.9171634694701</v>
      </c>
      <c r="U26" s="118">
        <f>U24-$C25</f>
        <v>278.65535663140855</v>
      </c>
      <c r="W26" s="118">
        <f>W24-$C25</f>
        <v>272.51475264747285</v>
      </c>
      <c r="Y26" s="63"/>
      <c r="AC26" s="63"/>
      <c r="AG26" s="63"/>
      <c r="AI26" s="63"/>
      <c r="AP26" s="63"/>
      <c r="AT26" s="63"/>
      <c r="AX26" s="63"/>
      <c r="BB26" s="63"/>
      <c r="BG26" s="63"/>
      <c r="BH26" s="63"/>
      <c r="BK26" s="63"/>
      <c r="BL26" s="63"/>
      <c r="BP26" s="63"/>
    </row>
    <row r="27" spans="1:68" x14ac:dyDescent="0.3">
      <c r="A27" s="118" t="s">
        <v>67</v>
      </c>
      <c r="C27" s="118">
        <f>SQRT(C16)</f>
        <v>3.6323546082396749</v>
      </c>
      <c r="E27" s="63">
        <f>SQRT(E16)</f>
        <v>8.0059426332538148</v>
      </c>
      <c r="F27" s="118"/>
      <c r="G27" s="118">
        <f>SQRT(G16)</f>
        <v>1.2433824833895644</v>
      </c>
      <c r="H27" s="118"/>
      <c r="I27" s="118">
        <f>SQRT(I16)</f>
        <v>1.6130716041143369</v>
      </c>
      <c r="J27" s="118"/>
      <c r="K27" s="118">
        <f>SQRT(K16)</f>
        <v>2.6645825188948455</v>
      </c>
      <c r="M27" s="63">
        <f>SQRT(M16)</f>
        <v>6.7997981748692116</v>
      </c>
      <c r="N27" s="118"/>
      <c r="O27" s="118">
        <f>SQRT(O16)</f>
        <v>2.1575449010391416</v>
      </c>
      <c r="Q27" s="63">
        <f>SQRT(Q16)</f>
        <v>7.9909979543785763</v>
      </c>
      <c r="S27" s="118">
        <f>SQRT(S16)</f>
        <v>2.6814175355583845</v>
      </c>
      <c r="U27" s="118">
        <f>SQRT(U16)</f>
        <v>1.2649110640673518</v>
      </c>
      <c r="V27" s="63"/>
      <c r="W27" s="63">
        <f>SQRT(W16)</f>
        <v>8.3353425206261509</v>
      </c>
      <c r="Y27" s="63"/>
      <c r="Z27" s="63"/>
      <c r="AC27" s="63"/>
      <c r="AD27" s="63"/>
      <c r="AG27" s="63"/>
      <c r="AH27" s="63"/>
      <c r="AI27" s="63"/>
      <c r="AJ27" s="63"/>
      <c r="AN27" s="63"/>
      <c r="AP27" s="63"/>
      <c r="AT27" s="63"/>
      <c r="AX27" s="63"/>
      <c r="BB27" s="63"/>
      <c r="BG27" s="63"/>
      <c r="BH27" s="63"/>
      <c r="BK27" s="63"/>
      <c r="BL27" s="63"/>
      <c r="BP27" s="63"/>
    </row>
    <row r="28" spans="1:68" x14ac:dyDescent="0.3">
      <c r="A28" s="129" t="s">
        <v>68</v>
      </c>
      <c r="C28" s="118">
        <f>C27*C21</f>
        <v>0.42916721553978909</v>
      </c>
      <c r="E28" s="118">
        <f>E27*E21</f>
        <v>0.91562277988640206</v>
      </c>
      <c r="F28" s="118"/>
      <c r="G28" s="118">
        <f>G27*G21</f>
        <v>0.15223458559861971</v>
      </c>
      <c r="H28" s="118"/>
      <c r="I28" s="118">
        <f>I27*I21</f>
        <v>0.17388156364274687</v>
      </c>
      <c r="J28" s="118"/>
      <c r="K28" s="118">
        <f>K27*K21</f>
        <v>0.3063066398668105</v>
      </c>
      <c r="M28" s="118">
        <f>M27*M21</f>
        <v>0.77196730818530257</v>
      </c>
      <c r="N28" s="118"/>
      <c r="O28" s="118">
        <f>O27*O21</f>
        <v>0.25216499792382718</v>
      </c>
      <c r="Q28" s="118">
        <f>Q27*Q21</f>
        <v>0.95963392250126955</v>
      </c>
      <c r="S28" s="118">
        <f>S27*S21</f>
        <v>0.3074653062294801</v>
      </c>
      <c r="U28" s="118">
        <f>U27*U21</f>
        <v>0.13374028144914332</v>
      </c>
      <c r="W28" s="118">
        <f>W27*W21</f>
        <v>0.97730517855035204</v>
      </c>
      <c r="Y28" s="63"/>
      <c r="AC28" s="63"/>
      <c r="AG28" s="63"/>
      <c r="AI28" s="63"/>
      <c r="BG28" s="63"/>
      <c r="BK28" s="63"/>
    </row>
    <row r="29" spans="1:68" x14ac:dyDescent="0.3">
      <c r="A29" s="139" t="s">
        <v>69</v>
      </c>
      <c r="B29" s="118" t="s">
        <v>357</v>
      </c>
      <c r="C29" s="139">
        <f>SUM(B28:W28)/SUM(B27:W27)</f>
        <v>0.11596390644428758</v>
      </c>
      <c r="F29" s="118" t="s">
        <v>357</v>
      </c>
      <c r="G29" s="139">
        <f>SUM(F28:I28)/SUM(F27:I27)</f>
        <v>0.11416817468483857</v>
      </c>
      <c r="H29" s="118" t="s">
        <v>357</v>
      </c>
      <c r="I29" s="139">
        <f>SUM(H28:K28)/SUM(H27:K27)</f>
        <v>0.11225503271212622</v>
      </c>
      <c r="J29" s="118" t="s">
        <v>357</v>
      </c>
      <c r="K29" s="139">
        <f>SUM(J28:M28)/SUM(J27:M27)</f>
        <v>0.11392968889792993</v>
      </c>
      <c r="L29" s="139"/>
      <c r="N29" s="118" t="s">
        <v>357</v>
      </c>
      <c r="O29" s="139">
        <f>SUM(N28:Q28)/SUM(N27:Q27)</f>
        <v>0.11940619827783332</v>
      </c>
      <c r="P29" s="139"/>
      <c r="Q29" s="63"/>
      <c r="R29" s="118" t="s">
        <v>357</v>
      </c>
      <c r="S29" s="139">
        <f>SUM(R28:U28)/SUM(R27:U27)</f>
        <v>0.11180153313144442</v>
      </c>
      <c r="T29" s="118" t="s">
        <v>357</v>
      </c>
      <c r="U29" s="139">
        <f>SUM(T28:W28)/SUM(T27:W27)</f>
        <v>0.11573084504464853</v>
      </c>
      <c r="V29" s="63"/>
      <c r="W29" s="63"/>
      <c r="X29" s="139"/>
      <c r="Y29" s="63"/>
      <c r="Z29" s="63"/>
      <c r="AB29" s="139"/>
      <c r="AC29" s="63"/>
      <c r="AD29" s="63"/>
      <c r="AF29" s="139"/>
      <c r="AG29" s="63"/>
      <c r="AH29" s="63"/>
      <c r="AI29" s="63"/>
      <c r="AJ29" s="63"/>
      <c r="AL29" s="139"/>
      <c r="AN29" s="63"/>
      <c r="AP29" s="63"/>
      <c r="AR29" s="139"/>
      <c r="AT29" s="63"/>
      <c r="AV29" s="139"/>
      <c r="AX29" s="63"/>
      <c r="AZ29" s="139"/>
      <c r="BB29" s="63"/>
      <c r="BD29" s="139"/>
      <c r="BF29" s="139"/>
      <c r="BG29" s="63"/>
      <c r="BH29" s="63"/>
      <c r="BJ29" s="139"/>
      <c r="BK29" s="63"/>
      <c r="BL29" s="63"/>
      <c r="BN29" s="139"/>
      <c r="BP29" s="63"/>
    </row>
    <row r="30" spans="1:68" x14ac:dyDescent="0.3">
      <c r="A30" s="118" t="s">
        <v>72</v>
      </c>
      <c r="B30" s="118">
        <f>SQRT(SUMSQ(C30:E30)/SUM(C27:E27))</f>
        <v>7.9370273327189912E-4</v>
      </c>
      <c r="C30" s="139">
        <f>C21-$C$29</f>
        <v>2.1873375356534774E-3</v>
      </c>
      <c r="E30" s="139">
        <f>E21-$C29</f>
        <v>-1.5960147630215554E-3</v>
      </c>
      <c r="F30" s="118">
        <f>SQRT(SUMSQ(G30:I30)/SUM(G27:I27))</f>
        <v>6.605121366486397E-3</v>
      </c>
      <c r="G30" s="139">
        <f>G21-$C$29</f>
        <v>6.471939027506049E-3</v>
      </c>
      <c r="H30" s="118">
        <f>SQRT(SUMSQ(I30:K30)/SUM(I27:K27))</f>
        <v>4.0010568574830778E-3</v>
      </c>
      <c r="I30" s="139">
        <f>I21-$C$29</f>
        <v>-8.1685902294087037E-3</v>
      </c>
      <c r="J30" s="118">
        <f>SQRT(SUMSQ(K30:M30)/SUM(K27:M27))</f>
        <v>8.5705496612856831E-4</v>
      </c>
      <c r="K30" s="139">
        <f>K21-$C$29</f>
        <v>-1.0090729216788163E-3</v>
      </c>
      <c r="L30" s="139"/>
      <c r="M30" s="139">
        <f>M21-$C29</f>
        <v>-2.4359327702526551E-3</v>
      </c>
      <c r="N30" s="118">
        <f>SQRT(SUMSQ(O30:Q30)/SUM(O27:Q27))</f>
        <v>1.3262694175192962E-3</v>
      </c>
      <c r="O30" s="139">
        <f>O21-$C$29</f>
        <v>9.1199162039536097E-4</v>
      </c>
      <c r="P30" s="139"/>
      <c r="Q30" s="139">
        <f>Q21-$C29</f>
        <v>4.1254651185532037E-3</v>
      </c>
      <c r="R30" s="118">
        <f>SQRT(SUMSQ(S30:U30)/SUM(S27:U27))</f>
        <v>5.4561061144068846E-3</v>
      </c>
      <c r="S30" s="139">
        <f>S21-$C$29</f>
        <v>-1.2986959158374362E-3</v>
      </c>
      <c r="T30" s="118">
        <f>SQRT(SUMSQ(U30:W30)/SUM(U27:W27))</f>
        <v>3.3285359691995714E-3</v>
      </c>
      <c r="U30" s="139">
        <f>U21-$C$29</f>
        <v>-1.0232930371473214E-2</v>
      </c>
      <c r="V30" s="139"/>
      <c r="W30" s="139">
        <f>W21-$C29</f>
        <v>1.2844461137470481E-3</v>
      </c>
      <c r="X30" s="139"/>
      <c r="Y30" s="63"/>
      <c r="Z30" s="139"/>
      <c r="AB30" s="139"/>
      <c r="AC30" s="63"/>
      <c r="AD30" s="139"/>
      <c r="AF30" s="139"/>
      <c r="AG30" s="63"/>
      <c r="AH30" s="139"/>
      <c r="AI30" s="63"/>
      <c r="AJ30" s="139"/>
      <c r="AL30" s="139"/>
      <c r="AN30" s="139"/>
      <c r="AP30" s="75"/>
      <c r="AR30" s="139"/>
      <c r="AT30" s="75"/>
      <c r="AV30" s="139"/>
      <c r="AX30" s="75"/>
      <c r="AZ30" s="139"/>
      <c r="BB30" s="75"/>
      <c r="BD30" s="139"/>
      <c r="BF30" s="139"/>
      <c r="BG30" s="63"/>
      <c r="BH30" s="75"/>
      <c r="BJ30" s="139"/>
      <c r="BK30" s="63"/>
      <c r="BL30" s="75"/>
      <c r="BN30" s="139"/>
      <c r="BP30" s="75"/>
    </row>
    <row r="31" spans="1:68" x14ac:dyDescent="0.3">
      <c r="A31" s="129" t="s">
        <v>119</v>
      </c>
      <c r="C31" s="118">
        <f>C27*C24</f>
        <v>996.0159332667381</v>
      </c>
      <c r="E31" s="63">
        <f>E27*E24</f>
        <v>2194.3720396588815</v>
      </c>
      <c r="F31" s="118"/>
      <c r="G31" s="118">
        <f>G27*G24</f>
        <v>338.66250899168779</v>
      </c>
      <c r="H31" s="118"/>
      <c r="I31" s="118">
        <f>I27*I24</f>
        <v>441.21256692361032</v>
      </c>
      <c r="J31" s="118"/>
      <c r="K31" s="118">
        <f>K27*K24</f>
        <v>730.23558531527055</v>
      </c>
      <c r="M31" s="63">
        <f>M27*M24</f>
        <v>1850.2977240556932</v>
      </c>
      <c r="N31" s="118"/>
      <c r="O31" s="118">
        <f>O27*O24</f>
        <v>591.51900206503751</v>
      </c>
      <c r="Q31" s="63">
        <f>Q27*Q24</f>
        <v>2181.6898820206616</v>
      </c>
      <c r="S31" s="118">
        <f>S27*S24</f>
        <v>737.16770295300807</v>
      </c>
      <c r="U31" s="118">
        <f>U27*U24</f>
        <v>352.47424366470239</v>
      </c>
      <c r="V31" s="63"/>
      <c r="W31" s="63">
        <f>W27*W24</f>
        <v>2271.5038052403984</v>
      </c>
      <c r="Y31" s="63"/>
      <c r="Z31" s="63"/>
      <c r="AC31" s="63"/>
      <c r="AD31" s="63"/>
      <c r="AG31" s="63"/>
      <c r="AH31" s="63"/>
      <c r="AI31" s="63"/>
      <c r="AJ31" s="63"/>
      <c r="AN31" s="63"/>
      <c r="AP31" s="63"/>
      <c r="AT31" s="63"/>
      <c r="AX31" s="63"/>
      <c r="BB31" s="63"/>
      <c r="BG31" s="63"/>
      <c r="BH31" s="63"/>
      <c r="BK31" s="63"/>
      <c r="BL31" s="63"/>
      <c r="BP31" s="63"/>
    </row>
    <row r="32" spans="1:68" x14ac:dyDescent="0.3">
      <c r="A32" s="261" t="s">
        <v>120</v>
      </c>
      <c r="C32" s="139">
        <f>MOD(SUM(B31:W31)/SUM(B27:W27),360)</f>
        <v>273.44966222599299</v>
      </c>
      <c r="F32" s="118"/>
      <c r="G32" s="139">
        <f>MOD(SUM(F31:I31)/SUM(F27:I27),360)</f>
        <v>273.02209383550365</v>
      </c>
      <c r="H32" s="118"/>
      <c r="I32" s="139">
        <f>MOD(SUM(H31:K31)/SUM(H27:K27),360)</f>
        <v>273.85293867911122</v>
      </c>
      <c r="J32" s="118"/>
      <c r="K32" s="139">
        <f>MOD(SUM(J31:M31)/SUM(J27:M27),360)</f>
        <v>272.65738698267279</v>
      </c>
      <c r="L32" s="139"/>
      <c r="N32" s="118"/>
      <c r="O32" s="139">
        <f>MOD(SUM(N31:Q31)/SUM(N27:Q27),360)</f>
        <v>273.26177990224909</v>
      </c>
      <c r="P32" s="139"/>
      <c r="Q32" s="63"/>
      <c r="S32" s="139">
        <f>MOD(SUM(R31:U31)/SUM(R27:U27),360)</f>
        <v>276.11536117926175</v>
      </c>
      <c r="U32" s="139">
        <f>MOD(SUM(T31:W31)/SUM(T27:W27),360)</f>
        <v>273.32382689231576</v>
      </c>
      <c r="V32" s="63"/>
      <c r="W32" s="63"/>
      <c r="X32" s="139"/>
      <c r="Y32" s="63"/>
      <c r="Z32" s="63"/>
      <c r="AB32" s="139"/>
      <c r="AC32" s="63"/>
      <c r="AD32" s="139"/>
      <c r="AF32" s="139"/>
      <c r="AG32" s="63"/>
      <c r="AH32" s="63"/>
      <c r="AI32" s="63"/>
      <c r="AJ32" s="63"/>
      <c r="AL32" s="139"/>
      <c r="AN32" s="63"/>
      <c r="AP32" s="139"/>
      <c r="AT32" s="139"/>
      <c r="AV32" s="139"/>
      <c r="AX32" s="139"/>
      <c r="AZ32" s="139"/>
      <c r="BB32" s="63"/>
      <c r="BD32" s="139"/>
      <c r="BF32" s="139"/>
      <c r="BG32" s="63"/>
      <c r="BH32" s="63"/>
      <c r="BJ32" s="139"/>
      <c r="BK32" s="63"/>
      <c r="BL32" s="63"/>
      <c r="BN32" s="139"/>
      <c r="BP32" s="63"/>
    </row>
    <row r="33" spans="1:68" x14ac:dyDescent="0.3">
      <c r="A33" s="118" t="s">
        <v>121</v>
      </c>
      <c r="B33" s="118">
        <f>SQRT(SUMSQ(C33:E33)/SUM(C27:E27))</f>
        <v>0.29119243590280192</v>
      </c>
      <c r="C33" s="139">
        <f>C24-$C$32</f>
        <v>0.75702756342462862</v>
      </c>
      <c r="E33" s="139">
        <f>E24-$C$32</f>
        <v>0.64323853303153555</v>
      </c>
      <c r="F33" s="118">
        <f>SQRT(SUMSQ(G33:I33)/SUM(G27:I27))</f>
        <v>0.67626996681872065</v>
      </c>
      <c r="G33" s="139">
        <f>G24-$C$32</f>
        <v>-1.0777143210606823</v>
      </c>
      <c r="H33" s="118">
        <f>SQRT(SUMSQ(I33:K33)/SUM(I27:K27))</f>
        <v>0.373486726430444</v>
      </c>
      <c r="I33" s="139">
        <f>I24-$C$32</f>
        <v>7.3574931144719358E-2</v>
      </c>
      <c r="J33" s="118">
        <f>SQRT(SUMSQ(K33:M33)/SUM(K27:M27))</f>
        <v>0.4773206971278921</v>
      </c>
      <c r="K33" s="139">
        <f>K24-$C$32</f>
        <v>0.60286950724861299</v>
      </c>
      <c r="L33" s="139"/>
      <c r="M33" s="139">
        <f>M24-$C$32</f>
        <v>-1.3389794569000628</v>
      </c>
      <c r="N33" s="118">
        <f>SQRT(SUMSQ(O33:Q33)/SUM(O27:Q27))</f>
        <v>0.26165570197228033</v>
      </c>
      <c r="O33" s="139">
        <f>O24-$C$32</f>
        <v>0.71334674783798846</v>
      </c>
      <c r="P33" s="139"/>
      <c r="Q33" s="139">
        <f>Q24-$C$32</f>
        <v>-0.43121140468730346</v>
      </c>
      <c r="R33" s="118">
        <f>SQRT(SUMSQ(S33:U33)/SUM(S27:U27))</f>
        <v>2.8550000255262993</v>
      </c>
      <c r="S33" s="139">
        <f>S24-$C$32</f>
        <v>1.467501243477102</v>
      </c>
      <c r="T33" s="118">
        <f>SQRT(SUMSQ(U33:W33)/SUM(U27:W27))</f>
        <v>1.7069884319410322</v>
      </c>
      <c r="U33" s="139">
        <f>U24-$C$32</f>
        <v>5.2056944054155565</v>
      </c>
      <c r="V33" s="139"/>
      <c r="W33" s="139">
        <f>W24-$C$32</f>
        <v>-0.93490957852014844</v>
      </c>
      <c r="X33" s="139"/>
      <c r="Y33" s="63"/>
      <c r="Z33" s="139"/>
      <c r="AB33" s="139"/>
      <c r="AC33" s="63"/>
      <c r="AD33" s="139"/>
      <c r="AF33" s="139"/>
      <c r="AG33" s="63"/>
      <c r="AH33" s="139"/>
      <c r="AI33" s="63"/>
      <c r="AJ33" s="139"/>
      <c r="AL33" s="139"/>
      <c r="AN33" s="139"/>
      <c r="AP33" s="75"/>
      <c r="AR33" s="139"/>
      <c r="AT33" s="75"/>
      <c r="AV33" s="139"/>
      <c r="AX33" s="75"/>
      <c r="AZ33" s="139"/>
      <c r="BB33" s="75"/>
      <c r="BD33" s="139"/>
      <c r="BF33" s="139"/>
      <c r="BG33" s="63"/>
      <c r="BH33" s="75"/>
      <c r="BJ33" s="139"/>
      <c r="BK33" s="63"/>
      <c r="BL33" s="75"/>
      <c r="BN33" s="139"/>
      <c r="BP33" s="75"/>
    </row>
    <row r="34" spans="1:68" s="164" customFormat="1" ht="75.75" customHeight="1" x14ac:dyDescent="0.3">
      <c r="A34" s="251" t="s">
        <v>40</v>
      </c>
      <c r="B34" s="384"/>
      <c r="C34" s="384"/>
      <c r="D34" s="65"/>
      <c r="E34" s="65"/>
      <c r="F34" s="384"/>
      <c r="G34" s="384"/>
      <c r="H34" s="384"/>
      <c r="I34" s="384"/>
      <c r="J34" s="65"/>
      <c r="K34" s="384"/>
      <c r="L34" s="384"/>
      <c r="M34" s="65"/>
      <c r="N34" s="65"/>
      <c r="R34" s="65"/>
      <c r="U34" s="65"/>
      <c r="V34" s="65"/>
      <c r="Y34" s="65"/>
      <c r="Z34" s="65"/>
      <c r="AC34" s="65"/>
      <c r="AD34" s="65"/>
      <c r="AG34" s="65"/>
      <c r="AH34" s="65"/>
      <c r="AI34" s="65"/>
      <c r="AJ34" s="65"/>
    </row>
    <row r="35" spans="1:68" s="127" customFormat="1" x14ac:dyDescent="0.3">
      <c r="A35" s="120" t="s">
        <v>54</v>
      </c>
      <c r="B35" s="120"/>
      <c r="C35" s="120"/>
      <c r="D35" s="67"/>
      <c r="E35" s="67"/>
      <c r="F35" s="120"/>
      <c r="G35" s="120"/>
      <c r="H35" s="120"/>
      <c r="I35" s="120"/>
      <c r="J35" s="120"/>
      <c r="K35" s="120"/>
      <c r="L35" s="120"/>
      <c r="M35" s="67"/>
      <c r="N35" s="67"/>
      <c r="R35" s="67"/>
      <c r="U35" s="67"/>
      <c r="V35" s="67"/>
      <c r="Y35" s="67"/>
      <c r="Z35" s="67"/>
      <c r="AC35" s="67"/>
      <c r="AD35" s="67"/>
      <c r="AG35" s="67"/>
      <c r="AH35" s="67"/>
      <c r="AI35" s="67"/>
      <c r="AJ35" s="67"/>
    </row>
    <row r="36" spans="1:68" x14ac:dyDescent="0.3">
      <c r="A36" s="139" t="s">
        <v>42</v>
      </c>
      <c r="C36" s="147">
        <f>C8*$C29</f>
        <v>12.949739080916393</v>
      </c>
      <c r="D36" s="63">
        <f>C36*B30/C29</f>
        <v>8.8633124036910899E-2</v>
      </c>
      <c r="E36" s="63" t="s">
        <v>358</v>
      </c>
      <c r="F36" s="118"/>
      <c r="G36" s="147">
        <f>G8*$C29</f>
        <v>1.4642786895621234</v>
      </c>
      <c r="H36" s="118"/>
      <c r="I36" s="147">
        <f>I8*$C29</f>
        <v>2.799176208793269</v>
      </c>
      <c r="J36" s="118"/>
      <c r="K36" s="147">
        <f>K8*$C29</f>
        <v>7.1623237625106952</v>
      </c>
      <c r="L36" s="63">
        <f>K36*J30/K29</f>
        <v>5.3879767504499694E-2</v>
      </c>
      <c r="M36" s="63" t="s">
        <v>358</v>
      </c>
      <c r="N36" s="118"/>
      <c r="O36" s="147">
        <f>O8*$C29</f>
        <v>4.6186766770289038</v>
      </c>
      <c r="P36" s="63">
        <f>O36*N30/O29</f>
        <v>5.1300600090290686E-2</v>
      </c>
      <c r="Q36" s="63" t="s">
        <v>358</v>
      </c>
      <c r="S36" s="147">
        <f>S8*$C29</f>
        <v>7.2714337983756145</v>
      </c>
      <c r="U36" s="147">
        <f>U8*$C29</f>
        <v>1.7548523356398571</v>
      </c>
      <c r="V36" s="63">
        <f>U36*T30/U29</f>
        <v>5.0471325233628711E-2</v>
      </c>
      <c r="W36" s="63" t="s">
        <v>358</v>
      </c>
      <c r="Y36" s="63"/>
      <c r="Z36" s="166"/>
      <c r="AC36" s="63"/>
      <c r="AD36" s="166"/>
      <c r="AG36" s="63"/>
      <c r="AH36" s="166"/>
      <c r="AI36" s="63"/>
      <c r="AJ36" s="166"/>
      <c r="AM36" s="63"/>
      <c r="AN36" s="166"/>
      <c r="AR36" s="147"/>
      <c r="AV36" s="147"/>
      <c r="AZ36" s="147"/>
      <c r="BD36" s="147"/>
      <c r="BF36" s="147"/>
      <c r="BJ36" s="147"/>
      <c r="BN36" s="147"/>
    </row>
    <row r="37" spans="1:68" x14ac:dyDescent="0.3">
      <c r="A37" s="118" t="s">
        <v>50</v>
      </c>
      <c r="C37" s="141">
        <f>C36-C16</f>
        <v>-0.24426091908360803</v>
      </c>
      <c r="F37" s="118"/>
      <c r="G37" s="141">
        <f>G36-G16</f>
        <v>-8.1721310437876671E-2</v>
      </c>
      <c r="H37" s="118"/>
      <c r="I37" s="141">
        <f>I36-I16</f>
        <v>0.19717620879326914</v>
      </c>
      <c r="J37" s="118"/>
      <c r="K37" s="141">
        <f>K36-K16</f>
        <v>6.2323762510695602E-2</v>
      </c>
      <c r="L37" s="63"/>
      <c r="N37" s="118"/>
      <c r="O37" s="141">
        <f>O36-O16</f>
        <v>-3.6323322971096417E-2</v>
      </c>
      <c r="P37" s="63"/>
      <c r="Q37" s="63"/>
      <c r="S37" s="141">
        <f>S36-S16</f>
        <v>8.1433798375614153E-2</v>
      </c>
      <c r="U37" s="141">
        <f>U36-U16</f>
        <v>0.15485233563985701</v>
      </c>
      <c r="V37" s="63"/>
      <c r="W37" s="63"/>
      <c r="Y37" s="63"/>
      <c r="Z37" s="141"/>
      <c r="AC37" s="63"/>
      <c r="AD37" s="141"/>
      <c r="AG37" s="63"/>
      <c r="AH37" s="141"/>
      <c r="AI37" s="63"/>
      <c r="AJ37" s="141"/>
      <c r="AM37" s="63"/>
      <c r="AN37" s="141"/>
      <c r="AR37" s="141"/>
      <c r="AV37" s="141"/>
      <c r="AZ37" s="141"/>
      <c r="BD37" s="141"/>
      <c r="BF37" s="141"/>
      <c r="BJ37" s="141"/>
      <c r="BN37" s="141"/>
    </row>
    <row r="38" spans="1:68" x14ac:dyDescent="0.3">
      <c r="A38" s="118" t="s">
        <v>51</v>
      </c>
      <c r="C38" s="142">
        <f>C37/C16</f>
        <v>-1.8513030095771411E-2</v>
      </c>
      <c r="F38" s="118"/>
      <c r="G38" s="142">
        <f>G37/G16</f>
        <v>-5.2859838575599401E-2</v>
      </c>
      <c r="H38" s="118"/>
      <c r="I38" s="142">
        <f>I37/I16</f>
        <v>7.5778712065053475E-2</v>
      </c>
      <c r="J38" s="118"/>
      <c r="K38" s="142">
        <f>K37/K16</f>
        <v>8.777994719816282E-3</v>
      </c>
      <c r="L38" s="63"/>
      <c r="N38" s="118"/>
      <c r="O38" s="142">
        <f>O37/O16</f>
        <v>-7.803076900342946E-3</v>
      </c>
      <c r="P38" s="63"/>
      <c r="Q38" s="63"/>
      <c r="S38" s="142">
        <f>S37/S16</f>
        <v>1.1325980302588894E-2</v>
      </c>
      <c r="U38" s="142">
        <f>U37/U16</f>
        <v>9.678270977491063E-2</v>
      </c>
      <c r="V38" s="63"/>
      <c r="W38" s="63"/>
      <c r="Y38" s="63"/>
      <c r="Z38" s="142"/>
      <c r="AC38" s="63"/>
      <c r="AD38" s="142"/>
      <c r="AG38" s="63"/>
      <c r="AH38" s="142"/>
      <c r="AI38" s="63"/>
      <c r="AJ38" s="142"/>
      <c r="AM38" s="63"/>
      <c r="AN38" s="142"/>
      <c r="AR38" s="142"/>
      <c r="AV38" s="142"/>
      <c r="AZ38" s="142"/>
      <c r="BD38" s="142"/>
      <c r="BF38" s="142"/>
      <c r="BJ38" s="142"/>
      <c r="BN38" s="142"/>
    </row>
    <row r="39" spans="1:68" x14ac:dyDescent="0.3">
      <c r="A39" s="74" t="s">
        <v>53</v>
      </c>
      <c r="B39" s="118">
        <f>AVERAGE(B37:C37)</f>
        <v>-0.24426091908360803</v>
      </c>
      <c r="C39" s="142">
        <f>AVERAGE(C38:C38)</f>
        <v>-1.8513030095771411E-2</v>
      </c>
      <c r="F39" s="118">
        <f>AVERAGE(F37:G37)</f>
        <v>-8.1721310437876671E-2</v>
      </c>
      <c r="G39" s="142">
        <f>AVERAGE(G38:G38)</f>
        <v>-5.2859838575599401E-2</v>
      </c>
      <c r="H39" s="118">
        <f>AVERAGE(H37:I37)</f>
        <v>0.19717620879326914</v>
      </c>
      <c r="I39" s="142">
        <f>AVERAGE(I38:I38)</f>
        <v>7.5778712065053475E-2</v>
      </c>
      <c r="J39" s="118">
        <f>AVERAGE(J37:K37)</f>
        <v>6.2323762510695602E-2</v>
      </c>
      <c r="K39" s="142">
        <f>AVERAGE(K38:K38)</f>
        <v>8.777994719816282E-3</v>
      </c>
      <c r="L39" s="63"/>
      <c r="N39" s="118">
        <f>AVERAGE(N37:O37)</f>
        <v>-3.6323322971096417E-2</v>
      </c>
      <c r="O39" s="142">
        <f>AVERAGE(O38:O38)</f>
        <v>-7.803076900342946E-3</v>
      </c>
      <c r="P39" s="63"/>
      <c r="Q39" s="63"/>
      <c r="R39" s="118">
        <f>AVERAGE(R37:S37)</f>
        <v>8.1433798375614153E-2</v>
      </c>
      <c r="S39" s="142">
        <f>AVERAGE(S38:S38)</f>
        <v>1.1325980302588894E-2</v>
      </c>
      <c r="T39" s="118">
        <f>AVERAGE(T37:U37)</f>
        <v>0.15485233563985701</v>
      </c>
      <c r="U39" s="142">
        <f>AVERAGE(U38:U38)</f>
        <v>9.678270977491063E-2</v>
      </c>
      <c r="V39" s="63"/>
      <c r="W39" s="63"/>
      <c r="Y39" s="63"/>
      <c r="Z39" s="142"/>
      <c r="AC39" s="63"/>
      <c r="AD39" s="142"/>
      <c r="AG39" s="63"/>
      <c r="AH39" s="142"/>
      <c r="AI39" s="63"/>
      <c r="AJ39" s="142"/>
      <c r="AM39" s="63"/>
      <c r="AN39" s="142"/>
      <c r="AR39" s="142"/>
      <c r="AV39" s="142"/>
      <c r="AZ39" s="142"/>
      <c r="BD39" s="142"/>
      <c r="BF39" s="142"/>
      <c r="BJ39" s="142"/>
      <c r="BN39" s="142"/>
    </row>
    <row r="40" spans="1:68" x14ac:dyDescent="0.3">
      <c r="A40" s="74" t="s">
        <v>52</v>
      </c>
      <c r="B40" s="118" t="e">
        <f>STDEV(B37:C37)</f>
        <v>#DIV/0!</v>
      </c>
      <c r="C40" s="142" t="e">
        <f>STDEV(C38:C38)</f>
        <v>#DIV/0!</v>
      </c>
      <c r="F40" s="118" t="e">
        <f>STDEV(F37:G37)</f>
        <v>#DIV/0!</v>
      </c>
      <c r="G40" s="142" t="e">
        <f>STDEV(G38:G38)</f>
        <v>#DIV/0!</v>
      </c>
      <c r="H40" s="118" t="e">
        <f>STDEV(H37:I37)</f>
        <v>#DIV/0!</v>
      </c>
      <c r="I40" s="142" t="e">
        <f>STDEV(I38:I38)</f>
        <v>#DIV/0!</v>
      </c>
      <c r="J40" s="118" t="e">
        <f>STDEV(J37:K37)</f>
        <v>#DIV/0!</v>
      </c>
      <c r="K40" s="142" t="e">
        <f>STDEV(K38:K38)</f>
        <v>#DIV/0!</v>
      </c>
      <c r="L40" s="63"/>
      <c r="N40" s="118" t="e">
        <f>STDEV(N37:O37)</f>
        <v>#DIV/0!</v>
      </c>
      <c r="O40" s="142" t="e">
        <f>STDEV(O38:O38)</f>
        <v>#DIV/0!</v>
      </c>
      <c r="P40" s="63"/>
      <c r="Q40" s="63"/>
      <c r="R40" s="118" t="e">
        <f>STDEV(R37:S37)</f>
        <v>#DIV/0!</v>
      </c>
      <c r="S40" s="142" t="e">
        <f>STDEV(S38:S38)</f>
        <v>#DIV/0!</v>
      </c>
      <c r="T40" s="118" t="e">
        <f>STDEV(T37:U37)</f>
        <v>#DIV/0!</v>
      </c>
      <c r="U40" s="142" t="e">
        <f>STDEV(U38:U38)</f>
        <v>#DIV/0!</v>
      </c>
      <c r="V40" s="63"/>
      <c r="W40" s="63"/>
      <c r="Y40" s="63"/>
      <c r="Z40" s="142"/>
      <c r="AC40" s="63"/>
      <c r="AD40" s="142"/>
      <c r="AG40" s="63"/>
      <c r="AH40" s="142"/>
      <c r="AI40" s="63"/>
      <c r="AJ40" s="142"/>
      <c r="AM40" s="63"/>
      <c r="AN40" s="142"/>
      <c r="AR40" s="142"/>
      <c r="AV40" s="142"/>
      <c r="AZ40" s="142"/>
      <c r="BD40" s="142"/>
      <c r="BF40" s="142"/>
      <c r="BJ40" s="142"/>
      <c r="BN40" s="142"/>
    </row>
    <row r="41" spans="1:68" x14ac:dyDescent="0.3">
      <c r="C41" s="142"/>
      <c r="F41" s="118"/>
      <c r="G41" s="142"/>
      <c r="H41" s="118"/>
      <c r="I41" s="142"/>
      <c r="J41" s="118"/>
      <c r="K41" s="142"/>
      <c r="L41" s="63"/>
      <c r="N41" s="118"/>
      <c r="O41" s="142"/>
      <c r="P41" s="63"/>
      <c r="Q41" s="63"/>
      <c r="S41" s="142"/>
      <c r="U41" s="142"/>
      <c r="V41" s="63"/>
      <c r="W41" s="63"/>
      <c r="Y41" s="63"/>
      <c r="Z41" s="142"/>
      <c r="AC41" s="63"/>
      <c r="AD41" s="142"/>
      <c r="AG41" s="63"/>
      <c r="AH41" s="142"/>
      <c r="AI41" s="63"/>
      <c r="AJ41" s="142"/>
      <c r="AM41" s="63"/>
      <c r="AN41" s="142"/>
      <c r="AR41" s="142"/>
      <c r="AV41" s="142"/>
      <c r="AZ41" s="142"/>
      <c r="BD41" s="142"/>
      <c r="BF41" s="142"/>
      <c r="BJ41" s="142"/>
      <c r="BN41" s="142"/>
    </row>
    <row r="42" spans="1:68" x14ac:dyDescent="0.3">
      <c r="A42" s="139" t="s">
        <v>43</v>
      </c>
      <c r="C42" s="141">
        <f>MOD(C9-$C32,360)</f>
        <v>322.29702756342465</v>
      </c>
      <c r="D42" s="63">
        <f>B33</f>
        <v>0.29119243590280192</v>
      </c>
      <c r="E42" s="141" t="s">
        <v>358</v>
      </c>
      <c r="F42" s="118"/>
      <c r="G42" s="141">
        <f>MOD(G9-$C32,360)</f>
        <v>345.91228567893933</v>
      </c>
      <c r="H42" s="118"/>
      <c r="I42" s="141">
        <f>MOD(I9-$C32,360)</f>
        <v>229.12357493114473</v>
      </c>
      <c r="J42" s="118"/>
      <c r="K42" s="141">
        <f>MOD(K9-$C32,360)</f>
        <v>115.60286950724861</v>
      </c>
      <c r="L42" s="63">
        <f>J33</f>
        <v>0.4773206971278921</v>
      </c>
      <c r="M42" s="141" t="s">
        <v>358</v>
      </c>
      <c r="N42" s="118"/>
      <c r="O42" s="141">
        <f>MOD(O9-$C32,360)</f>
        <v>57.723346747837979</v>
      </c>
      <c r="P42" s="63">
        <f>N33</f>
        <v>0.26165570197228033</v>
      </c>
      <c r="Q42" s="141" t="s">
        <v>358</v>
      </c>
      <c r="S42" s="141">
        <f>MOD(S9-$C32,360)</f>
        <v>143.35750124347709</v>
      </c>
      <c r="U42" s="141">
        <f>MOD(U9-$C32,360)</f>
        <v>258.95569440541556</v>
      </c>
      <c r="V42" s="63">
        <f>T33</f>
        <v>1.7069884319410322</v>
      </c>
      <c r="W42" s="141" t="s">
        <v>358</v>
      </c>
      <c r="Y42" s="63"/>
      <c r="Z42" s="167"/>
      <c r="AC42" s="63"/>
      <c r="AD42" s="167"/>
      <c r="AG42" s="63"/>
      <c r="AH42" s="167"/>
      <c r="AI42" s="63"/>
      <c r="AJ42" s="167"/>
      <c r="AM42" s="63"/>
      <c r="AN42" s="167"/>
      <c r="AR42" s="141"/>
      <c r="AV42" s="141"/>
      <c r="AZ42" s="141"/>
      <c r="BD42" s="141"/>
      <c r="BF42" s="141"/>
      <c r="BJ42" s="141"/>
      <c r="BN42" s="141"/>
    </row>
    <row r="43" spans="1:68" x14ac:dyDescent="0.3">
      <c r="A43" s="118" t="s">
        <v>55</v>
      </c>
      <c r="C43" s="141">
        <f>C42-C17</f>
        <v>0.75702756342462862</v>
      </c>
      <c r="E43" s="141"/>
      <c r="F43" s="118"/>
      <c r="G43" s="141">
        <f>G42-G17</f>
        <v>-1.0777143210606823</v>
      </c>
      <c r="H43" s="118"/>
      <c r="I43" s="141">
        <f>I42-I17</f>
        <v>7.3574931144719358E-2</v>
      </c>
      <c r="J43" s="118"/>
      <c r="K43" s="141">
        <f>K42-K17</f>
        <v>0.60286950724861299</v>
      </c>
      <c r="L43" s="141"/>
      <c r="N43" s="118"/>
      <c r="O43" s="141">
        <f>O42-O17</f>
        <v>0.71334674783798135</v>
      </c>
      <c r="Q43" s="63"/>
      <c r="S43" s="141">
        <f>S42-S17</f>
        <v>1.467501243477102</v>
      </c>
      <c r="U43" s="141">
        <f>U42-U17</f>
        <v>5.2056944054155565</v>
      </c>
      <c r="V43" s="141"/>
      <c r="Y43" s="63"/>
      <c r="Z43" s="141"/>
      <c r="AC43" s="63"/>
      <c r="AD43" s="141"/>
      <c r="AG43" s="63"/>
      <c r="AH43" s="141"/>
      <c r="AI43" s="63"/>
      <c r="AJ43" s="141"/>
      <c r="AM43" s="63"/>
      <c r="AN43" s="141"/>
      <c r="AR43" s="141"/>
      <c r="AV43" s="141"/>
      <c r="AZ43" s="141"/>
      <c r="BD43" s="141"/>
      <c r="BF43" s="141"/>
      <c r="BJ43" s="141"/>
      <c r="BN43" s="141"/>
    </row>
    <row r="44" spans="1:68" x14ac:dyDescent="0.3">
      <c r="A44" s="118" t="s">
        <v>56</v>
      </c>
      <c r="B44" s="118">
        <f>AVERAGE(B43:C43)</f>
        <v>0.75702756342462862</v>
      </c>
      <c r="C44" s="141"/>
      <c r="E44" s="101"/>
      <c r="F44" s="118">
        <f>AVERAGE(F43:G43)</f>
        <v>-1.0777143210606823</v>
      </c>
      <c r="G44" s="141"/>
      <c r="H44" s="118">
        <f>AVERAGE(H43:I43)</f>
        <v>7.3574931144719358E-2</v>
      </c>
      <c r="I44" s="141"/>
      <c r="J44" s="118">
        <f>AVERAGE(J43:K43)</f>
        <v>0.60286950724861299</v>
      </c>
      <c r="K44" s="141"/>
      <c r="L44" s="141"/>
      <c r="N44" s="118">
        <f>AVERAGE(N43:O43)</f>
        <v>0.71334674783798135</v>
      </c>
      <c r="O44" s="141"/>
      <c r="Q44" s="63"/>
      <c r="R44" s="118">
        <f>AVERAGE(R43:S43)</f>
        <v>1.467501243477102</v>
      </c>
      <c r="S44" s="141"/>
      <c r="T44" s="118">
        <f>AVERAGE(T43:U43)</f>
        <v>5.2056944054155565</v>
      </c>
      <c r="U44" s="141"/>
      <c r="V44" s="101"/>
      <c r="Y44" s="63"/>
      <c r="Z44" s="101"/>
      <c r="AC44" s="63"/>
      <c r="AD44" s="101"/>
      <c r="AG44" s="63"/>
      <c r="AH44" s="101"/>
      <c r="AI44" s="63"/>
      <c r="AJ44" s="101"/>
      <c r="AM44" s="63"/>
      <c r="AN44" s="101"/>
      <c r="AR44" s="141"/>
      <c r="AV44" s="141"/>
      <c r="AZ44" s="141"/>
      <c r="BD44" s="141"/>
      <c r="BF44" s="141"/>
      <c r="BJ44" s="141"/>
      <c r="BN44" s="141"/>
    </row>
    <row r="45" spans="1:68" x14ac:dyDescent="0.3">
      <c r="A45" s="118" t="s">
        <v>57</v>
      </c>
      <c r="B45" s="118" t="e">
        <f>STDEV(B43:C43)</f>
        <v>#DIV/0!</v>
      </c>
      <c r="C45" s="141"/>
      <c r="F45" s="118" t="e">
        <f>STDEV(F43:G43)</f>
        <v>#DIV/0!</v>
      </c>
      <c r="G45" s="141"/>
      <c r="H45" s="118" t="e">
        <f>STDEV(H43:I43)</f>
        <v>#DIV/0!</v>
      </c>
      <c r="I45" s="141"/>
      <c r="J45" s="118" t="e">
        <f>STDEV(J43:K43)</f>
        <v>#DIV/0!</v>
      </c>
      <c r="K45" s="141"/>
      <c r="L45" s="141"/>
      <c r="N45" s="118" t="e">
        <f>STDEV(N43:O43)</f>
        <v>#DIV/0!</v>
      </c>
      <c r="O45" s="141"/>
      <c r="Q45" s="63"/>
      <c r="R45" s="118" t="e">
        <f>STDEV(R43:S43)</f>
        <v>#DIV/0!</v>
      </c>
      <c r="S45" s="141"/>
      <c r="T45" s="118" t="e">
        <f>STDEV(T43:U43)</f>
        <v>#DIV/0!</v>
      </c>
      <c r="U45" s="141"/>
      <c r="V45" s="63"/>
      <c r="Y45" s="63"/>
      <c r="Z45" s="63"/>
      <c r="AC45" s="63"/>
      <c r="AD45" s="63"/>
      <c r="AG45" s="63"/>
      <c r="AH45" s="63"/>
      <c r="AI45" s="63"/>
      <c r="AJ45" s="63"/>
      <c r="AM45" s="63"/>
      <c r="AN45" s="63"/>
      <c r="AR45" s="141"/>
      <c r="AV45" s="141"/>
      <c r="AZ45" s="141"/>
      <c r="BD45" s="141"/>
      <c r="BF45" s="141"/>
      <c r="BJ45" s="141"/>
      <c r="BN45" s="141"/>
    </row>
    <row r="46" spans="1:68" x14ac:dyDescent="0.3">
      <c r="C46" s="141"/>
      <c r="F46" s="118"/>
      <c r="G46" s="141"/>
      <c r="H46" s="118"/>
      <c r="I46" s="141"/>
      <c r="J46" s="118"/>
      <c r="K46" s="141"/>
      <c r="L46" s="141"/>
      <c r="N46" s="118"/>
      <c r="O46" s="141"/>
      <c r="Q46" s="63"/>
      <c r="S46" s="141"/>
      <c r="U46" s="141"/>
      <c r="V46" s="63"/>
      <c r="Y46" s="63"/>
      <c r="Z46" s="63"/>
      <c r="AC46" s="63"/>
      <c r="AD46" s="63"/>
      <c r="AG46" s="63"/>
      <c r="AH46" s="63"/>
      <c r="AI46" s="63"/>
      <c r="AJ46" s="63"/>
      <c r="AM46" s="63"/>
      <c r="AN46" s="63"/>
      <c r="AR46" s="141"/>
      <c r="AV46" s="141"/>
      <c r="AZ46" s="141"/>
      <c r="BD46" s="141"/>
      <c r="BF46" s="141"/>
      <c r="BJ46" s="141"/>
      <c r="BN46" s="141"/>
    </row>
    <row r="47" spans="1:68" x14ac:dyDescent="0.3">
      <c r="A47" s="118" t="s">
        <v>44</v>
      </c>
      <c r="B47" s="72">
        <f>-C36*SIN((C42)/180*PI())</f>
        <v>7.9196471580862431</v>
      </c>
      <c r="C47" s="72">
        <f>C36*COS((C42)/180*PI())</f>
        <v>10.245727458566805</v>
      </c>
      <c r="F47" s="72">
        <f>-G36*SIN((G42)/180*PI())</f>
        <v>0.35641574280372007</v>
      </c>
      <c r="G47" s="72">
        <f>G36*COS((G42)/180*PI())</f>
        <v>1.4202393808747318</v>
      </c>
      <c r="H47" s="72">
        <f>-I36*SIN((I42)/180*PI())</f>
        <v>2.1165209665235203</v>
      </c>
      <c r="I47" s="72">
        <f>I36*COS((I42)/180*PI())</f>
        <v>-1.8318641996994764</v>
      </c>
      <c r="J47" s="72">
        <f>-K36*SIN((K42)/180*PI())</f>
        <v>-6.4590615338247082</v>
      </c>
      <c r="K47" s="72">
        <f>K36*COS((K42)/180*PI())</f>
        <v>-3.0950615149446334</v>
      </c>
      <c r="L47" s="72"/>
      <c r="M47" s="72"/>
      <c r="N47" s="72">
        <f>-O36*SIN((O42)/180*PI())</f>
        <v>-3.9049964460147528</v>
      </c>
      <c r="O47" s="72">
        <f>O36*COS((O42)/180*PI())</f>
        <v>2.4664097395896949</v>
      </c>
      <c r="Q47" s="72"/>
      <c r="R47" s="72">
        <f>-S36*SIN((S42)/180*PI())</f>
        <v>-4.3397385398119122</v>
      </c>
      <c r="S47" s="72">
        <f>S36*COS((S42)/180*PI())</f>
        <v>-5.8344167566458935</v>
      </c>
      <c r="T47" s="72">
        <f>-U36*SIN((U42)/180*PI())</f>
        <v>1.7223513147809826</v>
      </c>
      <c r="U47" s="72">
        <f>U36*COS((U42)/180*PI())</f>
        <v>-0.33617356881956401</v>
      </c>
      <c r="V47" s="72"/>
      <c r="Y47" s="72"/>
      <c r="Z47" s="72"/>
      <c r="AC47" s="72"/>
      <c r="AD47" s="72"/>
      <c r="AG47" s="72"/>
      <c r="AH47" s="72"/>
      <c r="AI47" s="72"/>
      <c r="AJ47" s="72"/>
      <c r="AM47" s="72"/>
      <c r="AN47" s="72"/>
      <c r="AQ47" s="72"/>
      <c r="AR47" s="72"/>
      <c r="AU47" s="72"/>
      <c r="AV47" s="72"/>
      <c r="AY47" s="72"/>
      <c r="AZ47" s="72"/>
      <c r="BC47" s="72"/>
      <c r="BD47" s="72"/>
      <c r="BE47" s="72"/>
      <c r="BF47" s="72"/>
      <c r="BI47" s="72"/>
      <c r="BJ47" s="72"/>
      <c r="BM47" s="72"/>
      <c r="BN47" s="72"/>
    </row>
    <row r="48" spans="1:68" s="129" customFormat="1" x14ac:dyDescent="0.3">
      <c r="A48" s="118" t="s">
        <v>45</v>
      </c>
      <c r="B48" s="72">
        <f>B47-B18</f>
        <v>-0.28660023586806371</v>
      </c>
      <c r="C48" s="72">
        <f>C47-C18</f>
        <v>-8.5736121643801511E-2</v>
      </c>
      <c r="D48" s="63"/>
      <c r="E48" s="63"/>
      <c r="F48" s="72">
        <f t="shared" ref="F48:K48" si="4">F47-F18</f>
        <v>8.3785058556445913E-3</v>
      </c>
      <c r="G48" s="72">
        <f t="shared" si="4"/>
        <v>-8.6076018269003018E-2</v>
      </c>
      <c r="H48" s="72">
        <f t="shared" si="4"/>
        <v>0.1512776909574729</v>
      </c>
      <c r="I48" s="72">
        <f t="shared" si="4"/>
        <v>-0.12651295498698856</v>
      </c>
      <c r="J48" s="72">
        <f t="shared" si="4"/>
        <v>-2.4276245864492729E-2</v>
      </c>
      <c r="K48" s="72">
        <f t="shared" si="4"/>
        <v>-9.4471856585668146E-2</v>
      </c>
      <c r="L48" s="72"/>
      <c r="M48" s="72"/>
      <c r="N48" s="72">
        <f>N47-N18</f>
        <v>-5.4251929091631013E-4</v>
      </c>
      <c r="O48" s="72">
        <f>O47-O18</f>
        <v>-6.8203551247946415E-2</v>
      </c>
      <c r="Q48" s="72"/>
      <c r="R48" s="72">
        <f>R47-R18</f>
        <v>9.7736853126307643E-2</v>
      </c>
      <c r="S48" s="72">
        <f>S47-S18</f>
        <v>-0.17712834813534606</v>
      </c>
      <c r="T48" s="72">
        <f>T47-T18</f>
        <v>0.18627154776349664</v>
      </c>
      <c r="U48" s="72">
        <f>U47-U18</f>
        <v>0.11155285363002382</v>
      </c>
      <c r="V48" s="72"/>
      <c r="Y48" s="72"/>
      <c r="Z48" s="72"/>
      <c r="AC48" s="72"/>
      <c r="AD48" s="72"/>
      <c r="AG48" s="72"/>
      <c r="AH48" s="72"/>
      <c r="AI48" s="72"/>
      <c r="AJ48" s="72"/>
      <c r="AM48" s="72"/>
      <c r="AN48" s="72"/>
      <c r="AQ48" s="72"/>
      <c r="AR48" s="72"/>
      <c r="AU48" s="72"/>
      <c r="AV48" s="72"/>
      <c r="AY48" s="72"/>
      <c r="AZ48" s="72"/>
      <c r="BC48" s="72"/>
      <c r="BD48" s="72"/>
      <c r="BE48" s="72"/>
      <c r="BF48" s="72"/>
      <c r="BI48" s="72"/>
      <c r="BJ48" s="72"/>
      <c r="BM48" s="72"/>
      <c r="BN48" s="72"/>
    </row>
    <row r="49" spans="1:66" x14ac:dyDescent="0.3">
      <c r="A49" s="118" t="s">
        <v>46</v>
      </c>
      <c r="B49" s="118">
        <f>B48^2</f>
        <v>8.2139695199629756E-2</v>
      </c>
      <c r="C49" s="118">
        <f>C48^2</f>
        <v>7.3506825545207296E-3</v>
      </c>
      <c r="F49" s="118">
        <f t="shared" ref="F49:K49" si="5">F48^2</f>
        <v>7.019936037307071E-5</v>
      </c>
      <c r="G49" s="118">
        <f t="shared" si="5"/>
        <v>7.4090809210457416E-3</v>
      </c>
      <c r="H49" s="118">
        <f t="shared" si="5"/>
        <v>2.2884939781424678E-2</v>
      </c>
      <c r="I49" s="118">
        <f t="shared" si="5"/>
        <v>1.6005527779539792E-2</v>
      </c>
      <c r="J49" s="118">
        <f t="shared" si="5"/>
        <v>5.8933611327330034E-4</v>
      </c>
      <c r="K49" s="118">
        <f t="shared" si="5"/>
        <v>8.9249316867430501E-3</v>
      </c>
      <c r="M49" s="118"/>
      <c r="N49" s="118">
        <f>N48^2</f>
        <v>2.9432718101633594E-7</v>
      </c>
      <c r="O49" s="118">
        <f>O48^2</f>
        <v>4.651724402831253E-3</v>
      </c>
      <c r="R49" s="118">
        <f>R48^2</f>
        <v>9.552492459033432E-3</v>
      </c>
      <c r="S49" s="118">
        <f>S48^2</f>
        <v>3.1374451713156351E-2</v>
      </c>
      <c r="T49" s="118">
        <f>T48^2</f>
        <v>3.469708950620861E-2</v>
      </c>
      <c r="U49" s="118">
        <f>U48^2</f>
        <v>1.2444039153001518E-2</v>
      </c>
    </row>
    <row r="50" spans="1:66" s="129" customFormat="1" x14ac:dyDescent="0.3">
      <c r="A50" s="118" t="s">
        <v>47</v>
      </c>
      <c r="B50" s="72"/>
      <c r="C50" s="72">
        <f>SQRT(B49+C49)</f>
        <v>0.29914942379043702</v>
      </c>
      <c r="D50" s="63"/>
      <c r="E50" s="63"/>
      <c r="F50" s="72"/>
      <c r="G50" s="72">
        <f>SQRT(F49+G49)</f>
        <v>8.6482832292997969E-2</v>
      </c>
      <c r="H50" s="72"/>
      <c r="I50" s="72">
        <f>SQRT(H49+I49)</f>
        <v>0.19720666206029772</v>
      </c>
      <c r="J50" s="72"/>
      <c r="K50" s="72">
        <f>SQRT(J49+K49)</f>
        <v>9.7541108257064371E-2</v>
      </c>
      <c r="L50" s="72"/>
      <c r="M50" s="72"/>
      <c r="N50" s="72"/>
      <c r="O50" s="72">
        <f>SQRT(N49+O49)</f>
        <v>6.8205708925369798E-2</v>
      </c>
      <c r="Q50" s="72"/>
      <c r="R50" s="72"/>
      <c r="S50" s="72">
        <f>SQRT(R49+S49)</f>
        <v>0.20230408837240482</v>
      </c>
      <c r="T50" s="72"/>
      <c r="U50" s="72">
        <f>SQRT(T49+U49)</f>
        <v>0.21712007889462948</v>
      </c>
      <c r="V50" s="72"/>
      <c r="Y50" s="72"/>
      <c r="Z50" s="72"/>
      <c r="AC50" s="72"/>
      <c r="AD50" s="72"/>
      <c r="AG50" s="72"/>
      <c r="AH50" s="72"/>
      <c r="AI50" s="72"/>
      <c r="AJ50" s="72"/>
      <c r="AM50" s="72"/>
      <c r="AN50" s="72"/>
      <c r="AQ50" s="72"/>
      <c r="AR50" s="72"/>
      <c r="AU50" s="72"/>
      <c r="AV50" s="72"/>
      <c r="AY50" s="72"/>
      <c r="AZ50" s="72"/>
      <c r="BC50" s="72"/>
      <c r="BD50" s="72"/>
      <c r="BE50" s="72"/>
      <c r="BF50" s="72"/>
      <c r="BI50" s="72"/>
      <c r="BJ50" s="72"/>
      <c r="BM50" s="72"/>
      <c r="BN50" s="72"/>
    </row>
    <row r="51" spans="1:66" s="129" customFormat="1" x14ac:dyDescent="0.3">
      <c r="A51" s="118" t="s">
        <v>48</v>
      </c>
      <c r="B51" s="72"/>
      <c r="C51" s="77">
        <f>C50/C36</f>
        <v>2.3100807044929866E-2</v>
      </c>
      <c r="D51" s="63"/>
      <c r="E51" s="63"/>
      <c r="F51" s="72"/>
      <c r="G51" s="77">
        <f>G50/G36</f>
        <v>5.9061729785099666E-2</v>
      </c>
      <c r="H51" s="72"/>
      <c r="I51" s="77">
        <f>I50/I36</f>
        <v>7.0451678404809662E-2</v>
      </c>
      <c r="J51" s="72"/>
      <c r="K51" s="77">
        <f>K50/K36</f>
        <v>1.3618639912316965E-2</v>
      </c>
      <c r="L51" s="77"/>
      <c r="M51" s="72"/>
      <c r="N51" s="72"/>
      <c r="O51" s="77">
        <f>O50/O36</f>
        <v>1.4767370330249026E-2</v>
      </c>
      <c r="Q51" s="72"/>
      <c r="R51" s="72"/>
      <c r="S51" s="77">
        <f>S50/S36</f>
        <v>2.7821760327048303E-2</v>
      </c>
      <c r="T51" s="72"/>
      <c r="U51" s="77">
        <f>U50/U36</f>
        <v>0.12372555484303059</v>
      </c>
      <c r="V51" s="77"/>
      <c r="Y51" s="72"/>
      <c r="Z51" s="77"/>
      <c r="AC51" s="72"/>
      <c r="AD51" s="77"/>
      <c r="AG51" s="72"/>
      <c r="AH51" s="77"/>
      <c r="AI51" s="72"/>
      <c r="AJ51" s="77"/>
      <c r="AM51" s="72"/>
      <c r="AN51" s="77"/>
      <c r="AQ51" s="72"/>
      <c r="AR51" s="77"/>
      <c r="AU51" s="72"/>
      <c r="AV51" s="77"/>
      <c r="AY51" s="72"/>
      <c r="AZ51" s="77"/>
      <c r="BC51" s="72"/>
      <c r="BD51" s="77"/>
      <c r="BE51" s="72"/>
      <c r="BF51" s="77"/>
      <c r="BI51" s="72"/>
      <c r="BJ51" s="77"/>
      <c r="BM51" s="72"/>
      <c r="BN51" s="77"/>
    </row>
    <row r="52" spans="1:66" s="129" customFormat="1" x14ac:dyDescent="0.3">
      <c r="A52" s="118"/>
      <c r="B52" s="72"/>
      <c r="C52" s="144"/>
      <c r="D52" s="63"/>
      <c r="E52" s="63"/>
      <c r="F52" s="72"/>
      <c r="G52" s="144"/>
      <c r="H52" s="72"/>
      <c r="I52" s="144"/>
      <c r="J52" s="72"/>
      <c r="K52" s="144"/>
      <c r="L52" s="144"/>
      <c r="M52" s="63"/>
      <c r="N52" s="72"/>
      <c r="O52" s="144"/>
      <c r="R52" s="72"/>
      <c r="S52" s="144"/>
      <c r="T52" s="72"/>
      <c r="U52" s="144"/>
      <c r="AQ52" s="72"/>
      <c r="AR52" s="144"/>
      <c r="AU52" s="72"/>
      <c r="AV52" s="144"/>
      <c r="AY52" s="72"/>
      <c r="AZ52" s="144"/>
      <c r="BC52" s="72"/>
      <c r="BD52" s="144"/>
      <c r="BE52" s="72"/>
      <c r="BF52" s="144"/>
      <c r="BI52" s="72"/>
      <c r="BJ52" s="144"/>
      <c r="BM52" s="72"/>
      <c r="BN52" s="144"/>
    </row>
    <row r="53" spans="1:66" s="129" customFormat="1" x14ac:dyDescent="0.3">
      <c r="A53" s="118" t="s">
        <v>89</v>
      </c>
      <c r="B53" s="72">
        <f>MEDIAN(B50:C50)</f>
        <v>0.29914942379043702</v>
      </c>
      <c r="C53" s="144"/>
      <c r="D53" s="63"/>
      <c r="E53" s="63"/>
      <c r="F53" s="72">
        <f>MEDIAN(F50:G50)</f>
        <v>8.6482832292997969E-2</v>
      </c>
      <c r="G53" s="144"/>
      <c r="H53" s="72">
        <f>MEDIAN(H50:I50)</f>
        <v>0.19720666206029772</v>
      </c>
      <c r="I53" s="144"/>
      <c r="J53" s="72">
        <f>MEDIAN(J50:K50)</f>
        <v>9.7541108257064371E-2</v>
      </c>
      <c r="K53" s="144"/>
      <c r="L53" s="144"/>
      <c r="M53" s="63"/>
      <c r="N53" s="72">
        <f>MEDIAN(N50:O50)</f>
        <v>6.8205708925369798E-2</v>
      </c>
      <c r="O53" s="144"/>
      <c r="R53" s="72">
        <f>MEDIAN(R50:S50)</f>
        <v>0.20230408837240482</v>
      </c>
      <c r="S53" s="144"/>
      <c r="T53" s="72">
        <f>MEDIAN(T50:U50)</f>
        <v>0.21712007889462948</v>
      </c>
      <c r="U53" s="144"/>
      <c r="Z53" s="72"/>
      <c r="AQ53" s="72"/>
      <c r="AR53" s="144"/>
      <c r="AU53" s="72"/>
      <c r="AV53" s="144"/>
      <c r="AY53" s="72"/>
      <c r="AZ53" s="144"/>
      <c r="BC53" s="72"/>
      <c r="BD53" s="144"/>
      <c r="BE53" s="72"/>
      <c r="BF53" s="144"/>
      <c r="BI53" s="72"/>
      <c r="BJ53" s="144"/>
      <c r="BM53" s="72"/>
      <c r="BN53" s="144"/>
    </row>
    <row r="54" spans="1:66" s="129" customFormat="1" x14ac:dyDescent="0.3">
      <c r="A54" s="118" t="s">
        <v>81</v>
      </c>
      <c r="B54" s="72">
        <f>AVERAGE(B50:C50)</f>
        <v>0.29914942379043702</v>
      </c>
      <c r="C54" s="144"/>
      <c r="D54" s="63"/>
      <c r="E54" s="63"/>
      <c r="F54" s="72">
        <f>AVERAGE(F50:G50)</f>
        <v>8.6482832292997969E-2</v>
      </c>
      <c r="G54" s="144"/>
      <c r="H54" s="72">
        <f>AVERAGE(H50:I50)</f>
        <v>0.19720666206029772</v>
      </c>
      <c r="I54" s="144"/>
      <c r="J54" s="72">
        <f>AVERAGE(J50:K50)</f>
        <v>9.7541108257064371E-2</v>
      </c>
      <c r="K54" s="144"/>
      <c r="L54" s="144"/>
      <c r="M54" s="63"/>
      <c r="N54" s="72">
        <f>AVERAGE(N50:O50)</f>
        <v>6.8205708925369798E-2</v>
      </c>
      <c r="O54" s="144"/>
      <c r="R54" s="72">
        <f>AVERAGE(R50:S50)</f>
        <v>0.20230408837240482</v>
      </c>
      <c r="S54" s="144"/>
      <c r="T54" s="72">
        <f>AVERAGE(T50:U50)</f>
        <v>0.21712007889462948</v>
      </c>
      <c r="U54" s="144"/>
      <c r="Z54" s="72"/>
      <c r="AQ54" s="72"/>
      <c r="AR54" s="144"/>
      <c r="AU54" s="72"/>
      <c r="AV54" s="144"/>
      <c r="AY54" s="72"/>
      <c r="AZ54" s="144"/>
      <c r="BC54" s="72"/>
      <c r="BD54" s="144"/>
      <c r="BE54" s="72"/>
      <c r="BF54" s="144"/>
      <c r="BI54" s="72"/>
      <c r="BJ54" s="144"/>
      <c r="BM54" s="72"/>
      <c r="BN54" s="144"/>
    </row>
    <row r="55" spans="1:66" s="129" customFormat="1" x14ac:dyDescent="0.3">
      <c r="A55" s="118" t="s">
        <v>82</v>
      </c>
      <c r="B55" s="72" t="e">
        <f>STDEV(B50:C50)</f>
        <v>#DIV/0!</v>
      </c>
      <c r="C55" s="144"/>
      <c r="D55" s="63"/>
      <c r="E55" s="63"/>
      <c r="F55" s="72" t="e">
        <f>STDEV(F50:G50)</f>
        <v>#DIV/0!</v>
      </c>
      <c r="G55" s="144"/>
      <c r="H55" s="72" t="e">
        <f>STDEV(H50:I50)</f>
        <v>#DIV/0!</v>
      </c>
      <c r="I55" s="144"/>
      <c r="J55" s="72" t="e">
        <f>STDEV(J50:K50)</f>
        <v>#DIV/0!</v>
      </c>
      <c r="K55" s="144"/>
      <c r="L55" s="144"/>
      <c r="M55" s="63"/>
      <c r="N55" s="72" t="e">
        <f>STDEV(N50:O50)</f>
        <v>#DIV/0!</v>
      </c>
      <c r="O55" s="144"/>
      <c r="R55" s="72" t="e">
        <f>STDEV(R50:S50)</f>
        <v>#DIV/0!</v>
      </c>
      <c r="S55" s="144"/>
      <c r="T55" s="72" t="e">
        <f>STDEV(T50:U50)</f>
        <v>#DIV/0!</v>
      </c>
      <c r="U55" s="144"/>
      <c r="Z55" s="72"/>
      <c r="AQ55" s="72"/>
      <c r="AR55" s="144"/>
      <c r="AU55" s="72"/>
      <c r="AV55" s="144"/>
      <c r="AY55" s="72"/>
      <c r="AZ55" s="144"/>
      <c r="BC55" s="72"/>
      <c r="BD55" s="144"/>
      <c r="BE55" s="72"/>
      <c r="BF55" s="144"/>
      <c r="BI55" s="72"/>
      <c r="BJ55" s="144"/>
      <c r="BM55" s="72"/>
      <c r="BN55" s="144"/>
    </row>
    <row r="56" spans="1:66" s="129" customFormat="1" x14ac:dyDescent="0.3">
      <c r="A56" s="118" t="s">
        <v>83</v>
      </c>
      <c r="B56" s="72"/>
      <c r="C56" s="144"/>
      <c r="D56" s="63"/>
      <c r="E56" s="63"/>
      <c r="F56" s="77"/>
      <c r="G56" s="72"/>
      <c r="H56" s="74"/>
      <c r="I56" s="74"/>
      <c r="J56" s="74"/>
      <c r="K56" s="74"/>
      <c r="L56" s="144"/>
      <c r="M56" s="63"/>
      <c r="N56" s="63"/>
      <c r="Z56" s="72"/>
      <c r="AQ56" s="72"/>
      <c r="AR56" s="144"/>
      <c r="AU56" s="72"/>
      <c r="AV56" s="144"/>
      <c r="AY56" s="72"/>
      <c r="AZ56" s="144"/>
      <c r="BC56" s="72"/>
      <c r="BD56" s="144"/>
      <c r="BE56" s="72"/>
      <c r="BF56" s="144"/>
      <c r="BI56" s="72"/>
      <c r="BJ56" s="144"/>
      <c r="BM56" s="72"/>
      <c r="BN56" s="144"/>
    </row>
    <row r="57" spans="1:66" s="129" customFormat="1" x14ac:dyDescent="0.3">
      <c r="A57" s="118"/>
      <c r="B57" s="72"/>
      <c r="C57" s="72"/>
      <c r="D57" s="63"/>
      <c r="E57" s="63"/>
      <c r="F57" s="72"/>
      <c r="G57" s="72"/>
      <c r="H57" s="74"/>
      <c r="I57" s="74"/>
      <c r="J57" s="74"/>
      <c r="K57" s="74"/>
      <c r="L57" s="72"/>
      <c r="M57" s="63"/>
      <c r="N57" s="63"/>
      <c r="Z57" s="72"/>
      <c r="AQ57" s="72"/>
      <c r="AR57" s="72"/>
      <c r="AU57" s="72"/>
      <c r="AV57" s="72"/>
      <c r="AY57" s="72"/>
      <c r="AZ57" s="72"/>
      <c r="BC57" s="72"/>
      <c r="BD57" s="72"/>
      <c r="BE57" s="72"/>
      <c r="BF57" s="72"/>
      <c r="BI57" s="72"/>
      <c r="BJ57" s="72"/>
      <c r="BM57" s="72"/>
      <c r="BN57" s="72"/>
    </row>
    <row r="58" spans="1:66" s="129" customFormat="1" x14ac:dyDescent="0.3">
      <c r="B58" s="139"/>
      <c r="C58" s="139"/>
      <c r="D58" s="63"/>
      <c r="E58" s="63"/>
      <c r="F58" s="92"/>
      <c r="G58" s="92"/>
      <c r="H58" s="74"/>
      <c r="I58" s="74"/>
      <c r="J58" s="74"/>
      <c r="K58" s="74"/>
      <c r="L58" s="139"/>
      <c r="M58" s="63"/>
      <c r="N58" s="63"/>
      <c r="Z58" s="139"/>
      <c r="AQ58" s="139"/>
      <c r="AR58" s="139"/>
      <c r="AU58" s="139"/>
      <c r="AV58" s="139"/>
      <c r="AY58" s="139"/>
      <c r="AZ58" s="139"/>
      <c r="BC58" s="139"/>
      <c r="BD58" s="139"/>
      <c r="BE58" s="139"/>
      <c r="BF58" s="139"/>
      <c r="BI58" s="139"/>
      <c r="BJ58" s="139"/>
      <c r="BM58" s="139"/>
      <c r="BN58" s="139"/>
    </row>
    <row r="59" spans="1:66" x14ac:dyDescent="0.3">
      <c r="A59" s="139" t="s">
        <v>115</v>
      </c>
      <c r="B59" s="166"/>
      <c r="G59" s="278"/>
      <c r="Z59" s="166"/>
      <c r="AQ59" s="166"/>
      <c r="AU59" s="166"/>
      <c r="AY59" s="166"/>
      <c r="BC59" s="166"/>
      <c r="BE59" s="166"/>
      <c r="BI59" s="166"/>
      <c r="BM59" s="166"/>
    </row>
    <row r="60" spans="1:66" x14ac:dyDescent="0.3">
      <c r="A60" s="129" t="s">
        <v>116</v>
      </c>
      <c r="B60" s="166"/>
      <c r="G60" s="278"/>
      <c r="Z60" s="166"/>
      <c r="AQ60" s="166"/>
      <c r="AU60" s="166"/>
      <c r="AY60" s="166"/>
      <c r="BC60" s="166"/>
      <c r="BE60" s="166"/>
      <c r="BI60" s="166"/>
      <c r="BM60" s="166"/>
    </row>
    <row r="61" spans="1:66" x14ac:dyDescent="0.3">
      <c r="A61" s="129" t="s">
        <v>117</v>
      </c>
      <c r="B61" s="166"/>
      <c r="G61" s="279"/>
      <c r="Z61" s="167"/>
      <c r="AQ61" s="166"/>
      <c r="AU61" s="166"/>
      <c r="AY61" s="166"/>
      <c r="BC61" s="166"/>
      <c r="BE61" s="166"/>
      <c r="BI61" s="166"/>
      <c r="BM61" s="166"/>
    </row>
    <row r="62" spans="1:66" x14ac:dyDescent="0.3">
      <c r="A62" s="129" t="s">
        <v>118</v>
      </c>
      <c r="B62" s="166"/>
      <c r="G62" s="278"/>
      <c r="Z62" s="166"/>
      <c r="AQ62" s="166"/>
      <c r="AU62" s="166"/>
      <c r="AY62" s="166"/>
      <c r="BC62" s="166"/>
      <c r="BE62" s="166"/>
      <c r="BI62" s="166"/>
      <c r="BM62" s="166"/>
    </row>
    <row r="63" spans="1:66" x14ac:dyDescent="0.3">
      <c r="G63" s="280"/>
    </row>
  </sheetData>
  <mergeCells count="20">
    <mergeCell ref="AG10:AH10"/>
    <mergeCell ref="AI10:AJ10"/>
    <mergeCell ref="BI10:BJ10"/>
    <mergeCell ref="BM10:BN10"/>
    <mergeCell ref="B19:C19"/>
    <mergeCell ref="W19:X19"/>
    <mergeCell ref="Y19:Z19"/>
    <mergeCell ref="H10:I10"/>
    <mergeCell ref="J10:K10"/>
    <mergeCell ref="N10:O10"/>
    <mergeCell ref="T10:U10"/>
    <mergeCell ref="B10:C10"/>
    <mergeCell ref="D10:E10"/>
    <mergeCell ref="F10:G10"/>
    <mergeCell ref="R10:S10"/>
    <mergeCell ref="B34:C34"/>
    <mergeCell ref="K34:L34"/>
    <mergeCell ref="F34:G34"/>
    <mergeCell ref="H34:I34"/>
    <mergeCell ref="J19:K19"/>
  </mergeCells>
  <pageMargins left="0.7" right="0.7" top="0.75" bottom="0.75" header="0.3" footer="0.3"/>
  <pageSetup scale="1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62"/>
  <sheetViews>
    <sheetView zoomScale="85" zoomScaleNormal="85" workbookViewId="0">
      <pane xSplit="1" ySplit="2" topLeftCell="B33" activePane="bottomRight" state="frozenSplit"/>
      <selection pane="topRight"/>
      <selection pane="bottomLeft" activeCell="A3" sqref="A3"/>
      <selection pane="bottomRight" activeCell="C60" sqref="C60"/>
    </sheetView>
  </sheetViews>
  <sheetFormatPr defaultColWidth="9.109375" defaultRowHeight="14.4" x14ac:dyDescent="0.3"/>
  <cols>
    <col min="1" max="1" width="28" style="118" customWidth="1"/>
    <col min="2" max="5" width="11.6640625" style="118" customWidth="1"/>
    <col min="6" max="6" width="9.109375" style="63" customWidth="1"/>
    <col min="7" max="7" width="10" style="63" customWidth="1"/>
    <col min="8" max="16384" width="9.109375" style="118"/>
  </cols>
  <sheetData>
    <row r="1" spans="1:48" s="127" customFormat="1" x14ac:dyDescent="0.3">
      <c r="A1" s="120" t="s">
        <v>39</v>
      </c>
      <c r="B1" s="120"/>
      <c r="C1" s="120"/>
      <c r="D1" s="120"/>
      <c r="E1" s="120"/>
      <c r="F1" s="67"/>
      <c r="G1" s="67"/>
    </row>
    <row r="2" spans="1:48" s="249" customFormat="1" x14ac:dyDescent="0.3">
      <c r="B2" s="116"/>
      <c r="C2" s="116" t="s">
        <v>371</v>
      </c>
      <c r="E2" s="116" t="s">
        <v>370</v>
      </c>
      <c r="F2" s="61"/>
      <c r="G2" s="61" t="s">
        <v>373</v>
      </c>
      <c r="H2" s="61"/>
      <c r="I2" s="61"/>
      <c r="J2" s="116"/>
      <c r="K2" s="116"/>
      <c r="L2" s="61"/>
      <c r="M2" s="83"/>
      <c r="N2" s="256"/>
      <c r="O2" s="256"/>
      <c r="P2" s="256"/>
      <c r="Q2" s="253"/>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
      <c r="B3" s="116" t="s">
        <v>61</v>
      </c>
      <c r="C3" s="116" t="s">
        <v>60</v>
      </c>
      <c r="D3" s="116"/>
      <c r="E3" s="116"/>
      <c r="F3" s="61"/>
      <c r="G3" s="61"/>
      <c r="S3" s="259"/>
      <c r="T3" s="259"/>
      <c r="W3" s="118"/>
      <c r="X3" s="118"/>
    </row>
    <row r="4" spans="1:48" x14ac:dyDescent="0.3">
      <c r="A4" s="118" t="s">
        <v>1</v>
      </c>
      <c r="B4" s="118">
        <v>824.37800000000004</v>
      </c>
      <c r="C4" s="118">
        <f>960-577.62</f>
        <v>382.38</v>
      </c>
      <c r="D4" s="118">
        <v>824.37800000000004</v>
      </c>
      <c r="E4" s="118">
        <f>960-577.62</f>
        <v>382.38</v>
      </c>
      <c r="F4" s="63">
        <v>899</v>
      </c>
      <c r="G4" s="63">
        <v>663</v>
      </c>
      <c r="H4" s="217"/>
      <c r="I4" s="217"/>
      <c r="J4" s="217"/>
      <c r="K4" s="217"/>
      <c r="L4" s="217"/>
      <c r="M4" s="217"/>
      <c r="N4" s="217"/>
      <c r="O4" s="217"/>
      <c r="P4" s="217"/>
      <c r="Q4" s="217"/>
      <c r="R4" s="217"/>
      <c r="S4" s="260"/>
      <c r="T4" s="258"/>
      <c r="Z4" s="217"/>
      <c r="AM4" s="63"/>
      <c r="AN4" s="63"/>
      <c r="AR4" s="217"/>
      <c r="AV4" s="217"/>
    </row>
    <row r="5" spans="1:48" x14ac:dyDescent="0.3">
      <c r="A5" s="118" t="s">
        <v>2</v>
      </c>
      <c r="B5" s="118">
        <v>818.64599999999996</v>
      </c>
      <c r="C5" s="118">
        <f>960-570.467</f>
        <v>389.53300000000002</v>
      </c>
      <c r="D5" s="118">
        <v>811.91300000000001</v>
      </c>
      <c r="E5" s="118">
        <f>960-522.878</f>
        <v>437.12199999999996</v>
      </c>
      <c r="F5" s="63">
        <v>786</v>
      </c>
      <c r="G5" s="63">
        <v>37</v>
      </c>
      <c r="H5" s="217"/>
      <c r="I5" s="217"/>
      <c r="J5" s="217"/>
      <c r="K5" s="217"/>
      <c r="L5" s="217"/>
      <c r="M5" s="217"/>
      <c r="N5" s="217"/>
      <c r="O5" s="217"/>
      <c r="P5" s="217"/>
      <c r="Q5" s="217"/>
      <c r="R5" s="217"/>
      <c r="S5" s="260"/>
      <c r="T5" s="258"/>
      <c r="Z5" s="217"/>
      <c r="AM5" s="63"/>
      <c r="AN5" s="63"/>
      <c r="AR5" s="217"/>
      <c r="AV5" s="217"/>
    </row>
    <row r="6" spans="1:48" x14ac:dyDescent="0.3">
      <c r="A6" s="118" t="s">
        <v>4</v>
      </c>
      <c r="B6" s="118">
        <f t="shared" ref="B6:G6" si="0">B5-B4</f>
        <v>-5.7320000000000846</v>
      </c>
      <c r="C6" s="118">
        <f t="shared" si="0"/>
        <v>7.15300000000002</v>
      </c>
      <c r="D6" s="118">
        <f>D5-D4</f>
        <v>-12.465000000000032</v>
      </c>
      <c r="E6" s="118">
        <f>E5-E4</f>
        <v>54.741999999999962</v>
      </c>
      <c r="F6" s="63">
        <f t="shared" si="0"/>
        <v>-113</v>
      </c>
      <c r="G6" s="63">
        <f t="shared" si="0"/>
        <v>-626</v>
      </c>
      <c r="H6" s="63"/>
      <c r="I6" s="74"/>
      <c r="J6" s="74"/>
      <c r="K6" s="63"/>
      <c r="L6" s="63"/>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
      <c r="A7" s="118" t="s">
        <v>5</v>
      </c>
      <c r="B7" s="118">
        <f t="shared" ref="B7:G7" si="1">B6^2</f>
        <v>32.855824000000972</v>
      </c>
      <c r="C7" s="118">
        <f t="shared" si="1"/>
        <v>51.165409000000288</v>
      </c>
      <c r="D7" s="118">
        <f>D6^2</f>
        <v>155.3762250000008</v>
      </c>
      <c r="E7" s="118">
        <f>E6^2</f>
        <v>2996.686563999996</v>
      </c>
      <c r="F7" s="63">
        <f t="shared" si="1"/>
        <v>12769</v>
      </c>
      <c r="G7" s="63">
        <f t="shared" si="1"/>
        <v>391876</v>
      </c>
      <c r="H7" s="63"/>
      <c r="I7" s="74"/>
      <c r="J7" s="74"/>
      <c r="K7" s="63"/>
      <c r="L7" s="63"/>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
      <c r="A8" s="118" t="s">
        <v>6</v>
      </c>
      <c r="C8" s="118">
        <f>SQRT(SUM(B7:C7))</f>
        <v>9.1663096718363857</v>
      </c>
      <c r="E8" s="118">
        <f>SQRT(SUM(D7:E7))</f>
        <v>56.143234579065684</v>
      </c>
      <c r="G8" s="63">
        <f>SQRT(SUM(F7:G7))</f>
        <v>636.11712757950477</v>
      </c>
      <c r="H8" s="63"/>
      <c r="I8" s="74"/>
      <c r="J8" s="74"/>
      <c r="K8" s="63"/>
      <c r="L8" s="63"/>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
      <c r="A9" s="118" t="s">
        <v>7</v>
      </c>
      <c r="C9" s="118">
        <f>MOD(ATAN2(C6,B6)*180/PI()+270,360)</f>
        <v>231.29333442385246</v>
      </c>
      <c r="E9" s="118">
        <f>MOD(ATAN2(E6,D6)*180/PI()+270,360)</f>
        <v>257.1722121826943</v>
      </c>
      <c r="G9" s="63">
        <f>MOD(ATAN2(G6,F6)*180/PI()+270,360)</f>
        <v>100.23234059976204</v>
      </c>
      <c r="H9" s="63"/>
      <c r="I9" s="74"/>
      <c r="J9" s="74"/>
      <c r="K9" s="63"/>
      <c r="L9" s="63"/>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
      <c r="A10" s="250" t="s">
        <v>40</v>
      </c>
      <c r="B10" s="430" t="s">
        <v>372</v>
      </c>
      <c r="C10" s="430"/>
      <c r="D10" s="430" t="s">
        <v>372</v>
      </c>
      <c r="E10" s="430"/>
      <c r="F10" s="382"/>
      <c r="G10" s="382"/>
      <c r="M10" s="425"/>
      <c r="N10" s="425"/>
      <c r="O10" s="425"/>
      <c r="P10" s="425"/>
      <c r="AE10" s="74"/>
      <c r="AF10" s="74"/>
      <c r="AO10" s="425"/>
      <c r="AP10" s="425"/>
      <c r="AS10" s="425"/>
      <c r="AT10" s="425"/>
    </row>
    <row r="11" spans="1:48" s="127" customFormat="1" x14ac:dyDescent="0.3">
      <c r="A11" s="120" t="s">
        <v>37</v>
      </c>
      <c r="B11" s="120"/>
      <c r="C11" s="120"/>
      <c r="D11" s="120"/>
      <c r="E11" s="120"/>
      <c r="F11" s="67"/>
      <c r="G11" s="67"/>
    </row>
    <row r="12" spans="1:48" s="297" customFormat="1" x14ac:dyDescent="0.3">
      <c r="B12" s="297" t="s">
        <v>62</v>
      </c>
      <c r="C12" s="297" t="s">
        <v>63</v>
      </c>
      <c r="F12" s="69"/>
      <c r="G12" s="69"/>
    </row>
    <row r="13" spans="1:48" x14ac:dyDescent="0.3">
      <c r="A13" s="118" t="s">
        <v>18</v>
      </c>
    </row>
    <row r="14" spans="1:48" x14ac:dyDescent="0.3">
      <c r="A14" s="118" t="s">
        <v>17</v>
      </c>
    </row>
    <row r="15" spans="1:48" x14ac:dyDescent="0.3">
      <c r="A15" s="118" t="s">
        <v>14</v>
      </c>
    </row>
    <row r="16" spans="1:48" x14ac:dyDescent="0.3">
      <c r="A16" s="118" t="s">
        <v>13</v>
      </c>
      <c r="C16" s="147">
        <v>1.0620000000000001</v>
      </c>
      <c r="E16" s="147">
        <v>5.9180000000000001</v>
      </c>
      <c r="G16" s="111">
        <f>5*15.0412*COS((17+38/60+51/3600)*PI()/180)</f>
        <v>71.666780530880629</v>
      </c>
      <c r="H16" s="255"/>
      <c r="K16" s="63"/>
      <c r="L16" s="255"/>
      <c r="Q16" s="63"/>
      <c r="R16" s="255"/>
      <c r="U16" s="63"/>
      <c r="V16" s="111"/>
      <c r="Y16" s="63"/>
      <c r="Z16" s="111"/>
      <c r="AC16" s="63"/>
      <c r="AD16" s="111"/>
      <c r="AG16" s="63"/>
      <c r="AH16" s="111"/>
      <c r="AM16" s="63"/>
      <c r="AN16" s="111"/>
      <c r="AQ16" s="63"/>
      <c r="AR16" s="111"/>
      <c r="AU16" s="63"/>
      <c r="AV16" s="111"/>
    </row>
    <row r="17" spans="1:48" x14ac:dyDescent="0.3">
      <c r="A17" s="118" t="s">
        <v>7</v>
      </c>
      <c r="C17" s="118">
        <v>37.159999999999997</v>
      </c>
      <c r="E17" s="118">
        <v>68.31</v>
      </c>
      <c r="G17" s="63">
        <v>-90</v>
      </c>
      <c r="H17" s="63"/>
      <c r="K17" s="63"/>
      <c r="L17" s="63"/>
      <c r="Q17" s="63"/>
      <c r="R17" s="63"/>
      <c r="U17" s="63"/>
      <c r="V17" s="63"/>
      <c r="Y17" s="63"/>
      <c r="Z17" s="63"/>
      <c r="AB17" s="141"/>
      <c r="AC17" s="63"/>
      <c r="AD17" s="63"/>
      <c r="AF17" s="141"/>
      <c r="AG17" s="63"/>
      <c r="AH17" s="63"/>
      <c r="AM17" s="63"/>
      <c r="AN17" s="63"/>
      <c r="AQ17" s="63"/>
      <c r="AR17" s="63"/>
      <c r="AU17" s="63"/>
      <c r="AV17" s="63"/>
    </row>
    <row r="18" spans="1:48" x14ac:dyDescent="0.3">
      <c r="A18" s="118" t="s">
        <v>32</v>
      </c>
      <c r="B18" s="72">
        <f>-C16*SIN((C17)/180*PI())</f>
        <v>-0.64149354364061617</v>
      </c>
      <c r="C18" s="72">
        <f>C16*COS((C17)/180*PI())</f>
        <v>0.84636282613746971</v>
      </c>
      <c r="D18" s="72">
        <f>-E16*SIN((E17)/180*PI())</f>
        <v>-5.498988380782202</v>
      </c>
      <c r="E18" s="72">
        <f>E16*COS((E17)/180*PI())</f>
        <v>2.1872015883366442</v>
      </c>
      <c r="F18" s="72">
        <f>-G16*SIN((G17)/180*PI())</f>
        <v>71.666780530880629</v>
      </c>
      <c r="G18" s="72">
        <f>G16*COS((G17)/180*PI())</f>
        <v>4.3901222717841786E-15</v>
      </c>
      <c r="H18" s="72"/>
      <c r="I18" s="72"/>
      <c r="J18" s="72"/>
      <c r="K18" s="72"/>
      <c r="L18" s="72"/>
      <c r="M18" s="72"/>
      <c r="N18" s="72"/>
      <c r="O18" s="72"/>
      <c r="P18" s="72"/>
      <c r="Q18" s="72"/>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
      <c r="A19" s="251" t="s">
        <v>40</v>
      </c>
      <c r="B19" s="388"/>
      <c r="C19" s="388"/>
      <c r="D19" s="248"/>
      <c r="E19" s="248"/>
      <c r="F19" s="65"/>
      <c r="G19" s="65"/>
    </row>
    <row r="20" spans="1:48" s="127" customFormat="1" x14ac:dyDescent="0.3">
      <c r="A20" s="252" t="s">
        <v>38</v>
      </c>
      <c r="F20" s="67"/>
      <c r="G20" s="67"/>
    </row>
    <row r="21" spans="1:48" x14ac:dyDescent="0.3">
      <c r="A21" s="139" t="s">
        <v>65</v>
      </c>
      <c r="C21" s="118">
        <f>C16/C8</f>
        <v>0.11585905757286488</v>
      </c>
      <c r="E21" s="118">
        <f>E16/E8</f>
        <v>0.10540896056969729</v>
      </c>
      <c r="G21" s="118">
        <f>G16/G8</f>
        <v>0.1126628688706757</v>
      </c>
      <c r="I21" s="63"/>
      <c r="M21" s="63"/>
      <c r="O21" s="63"/>
      <c r="AM21" s="63"/>
      <c r="AQ21" s="63"/>
    </row>
    <row r="22" spans="1:48" x14ac:dyDescent="0.3">
      <c r="A22" s="118" t="s">
        <v>34</v>
      </c>
      <c r="C22" s="129"/>
      <c r="E22" s="129"/>
      <c r="I22" s="63"/>
      <c r="J22" s="63"/>
      <c r="M22" s="63"/>
      <c r="N22" s="63"/>
      <c r="O22" s="63"/>
      <c r="P22" s="63"/>
      <c r="T22" s="63"/>
      <c r="V22" s="63"/>
      <c r="X22" s="129"/>
      <c r="Z22" s="63"/>
      <c r="AB22" s="129"/>
      <c r="AD22" s="63"/>
      <c r="AF22" s="129"/>
      <c r="AH22" s="63"/>
      <c r="AJ22" s="129"/>
      <c r="AL22" s="129"/>
      <c r="AM22" s="63"/>
      <c r="AN22" s="63"/>
      <c r="AP22" s="129"/>
      <c r="AQ22" s="63"/>
      <c r="AR22" s="63"/>
      <c r="AT22" s="129"/>
      <c r="AV22" s="63"/>
    </row>
    <row r="23" spans="1:48" x14ac:dyDescent="0.3">
      <c r="A23" s="118" t="s">
        <v>35</v>
      </c>
      <c r="C23" s="118">
        <f>C21-$C22</f>
        <v>0.11585905757286488</v>
      </c>
      <c r="E23" s="118">
        <f>E21-$C22</f>
        <v>0.10540896056969729</v>
      </c>
      <c r="G23" s="118">
        <f>G21-$C22</f>
        <v>0.1126628688706757</v>
      </c>
      <c r="I23" s="63"/>
      <c r="M23" s="63"/>
      <c r="O23" s="63"/>
      <c r="AM23" s="63"/>
      <c r="AQ23" s="63"/>
    </row>
    <row r="24" spans="1:48" x14ac:dyDescent="0.3">
      <c r="A24" s="139" t="s">
        <v>64</v>
      </c>
      <c r="C24" s="74">
        <f>MOD(C9-C17,360)</f>
        <v>194.13333442385246</v>
      </c>
      <c r="E24" s="74">
        <f>MOD(E9-E17,360)</f>
        <v>188.86221218269429</v>
      </c>
      <c r="G24" s="74">
        <f>MOD(G9-G17,360)</f>
        <v>190.23234059976204</v>
      </c>
      <c r="H24" s="74"/>
      <c r="I24" s="63"/>
      <c r="J24" s="74"/>
      <c r="L24" s="74"/>
      <c r="M24" s="63"/>
      <c r="N24" s="74"/>
      <c r="O24" s="63"/>
      <c r="P24" s="74"/>
      <c r="R24" s="74"/>
      <c r="T24" s="74"/>
      <c r="V24" s="74"/>
      <c r="X24" s="74"/>
      <c r="Z24" s="74"/>
      <c r="AB24" s="74"/>
      <c r="AD24" s="74"/>
      <c r="AF24" s="74"/>
      <c r="AH24" s="74"/>
      <c r="AJ24" s="74"/>
      <c r="AL24" s="74"/>
      <c r="AM24" s="63"/>
      <c r="AN24" s="74"/>
      <c r="AP24" s="74"/>
      <c r="AQ24" s="63"/>
      <c r="AR24" s="74"/>
      <c r="AT24" s="74"/>
      <c r="AV24" s="74"/>
    </row>
    <row r="25" spans="1:48" x14ac:dyDescent="0.3">
      <c r="A25" s="118" t="s">
        <v>36</v>
      </c>
      <c r="I25" s="63"/>
      <c r="J25" s="63"/>
      <c r="M25" s="63"/>
      <c r="N25" s="63"/>
      <c r="O25" s="63"/>
      <c r="P25" s="63"/>
      <c r="T25" s="63"/>
      <c r="V25" s="63"/>
      <c r="Z25" s="63"/>
      <c r="AD25" s="63"/>
      <c r="AH25" s="63"/>
      <c r="AM25" s="63"/>
      <c r="AN25" s="63"/>
      <c r="AQ25" s="63"/>
      <c r="AR25" s="63"/>
      <c r="AV25" s="63"/>
    </row>
    <row r="26" spans="1:48" x14ac:dyDescent="0.3">
      <c r="A26" s="118" t="s">
        <v>35</v>
      </c>
      <c r="C26" s="118">
        <f>C24-$C25</f>
        <v>194.13333442385246</v>
      </c>
      <c r="E26" s="118">
        <f>E24-$C25</f>
        <v>188.86221218269429</v>
      </c>
      <c r="G26" s="118">
        <f>G24-$C25</f>
        <v>190.23234059976204</v>
      </c>
      <c r="I26" s="63"/>
      <c r="M26" s="63"/>
      <c r="O26" s="63"/>
      <c r="V26" s="63"/>
      <c r="Z26" s="63"/>
      <c r="AD26" s="63"/>
      <c r="AH26" s="63"/>
      <c r="AM26" s="63"/>
      <c r="AN26" s="63"/>
      <c r="AQ26" s="63"/>
      <c r="AR26" s="63"/>
      <c r="AV26" s="63"/>
    </row>
    <row r="27" spans="1:48" x14ac:dyDescent="0.3">
      <c r="A27" s="118" t="s">
        <v>67</v>
      </c>
      <c r="C27" s="118">
        <f>SQRT(C16)</f>
        <v>1.0305338422390602</v>
      </c>
      <c r="E27" s="118">
        <f>SQRT(E16)</f>
        <v>2.4326939799325356</v>
      </c>
      <c r="G27" s="63">
        <f>SQRT(G16)</f>
        <v>8.4656234578960952</v>
      </c>
      <c r="I27" s="63"/>
      <c r="J27" s="63"/>
      <c r="M27" s="63"/>
      <c r="N27" s="63"/>
      <c r="O27" s="63"/>
      <c r="P27" s="63"/>
      <c r="T27" s="63"/>
      <c r="V27" s="63"/>
      <c r="Z27" s="63"/>
      <c r="AD27" s="63"/>
      <c r="AH27" s="63"/>
      <c r="AM27" s="63"/>
      <c r="AN27" s="63"/>
      <c r="AQ27" s="63"/>
      <c r="AR27" s="63"/>
      <c r="AV27" s="63"/>
    </row>
    <row r="28" spans="1:48" x14ac:dyDescent="0.3">
      <c r="A28" s="129" t="s">
        <v>68</v>
      </c>
      <c r="C28" s="118">
        <f>C27*C21</f>
        <v>0.11939667975876093</v>
      </c>
      <c r="E28" s="118">
        <f>E27*E21</f>
        <v>0.25642774380884858</v>
      </c>
      <c r="G28" s="118">
        <f>G27*G21</f>
        <v>0.95376142554546395</v>
      </c>
      <c r="I28" s="63"/>
      <c r="M28" s="63"/>
      <c r="O28" s="63"/>
      <c r="AM28" s="63"/>
      <c r="AQ28" s="63"/>
    </row>
    <row r="29" spans="1:48" x14ac:dyDescent="0.3">
      <c r="A29" s="139" t="s">
        <v>69</v>
      </c>
      <c r="B29" s="118" t="s">
        <v>357</v>
      </c>
      <c r="C29" s="139">
        <f>SUM(B28:G28)/SUM(B27:G27)</f>
        <v>0.11145967184071799</v>
      </c>
      <c r="D29" s="118" t="s">
        <v>357</v>
      </c>
      <c r="E29" s="139">
        <f>SUM(D28:I28)/SUM(D27:I27)</f>
        <v>0.11104367038839248</v>
      </c>
      <c r="H29" s="139"/>
      <c r="I29" s="63"/>
      <c r="J29" s="63"/>
      <c r="L29" s="139"/>
      <c r="M29" s="63"/>
      <c r="N29" s="63"/>
      <c r="O29" s="63"/>
      <c r="P29" s="63"/>
      <c r="R29" s="139"/>
      <c r="T29" s="63"/>
      <c r="V29" s="63"/>
      <c r="X29" s="139"/>
      <c r="Z29" s="63"/>
      <c r="AB29" s="139"/>
      <c r="AD29" s="63"/>
      <c r="AF29" s="139"/>
      <c r="AH29" s="63"/>
      <c r="AJ29" s="139"/>
      <c r="AL29" s="139"/>
      <c r="AM29" s="63"/>
      <c r="AN29" s="63"/>
      <c r="AP29" s="139"/>
      <c r="AQ29" s="63"/>
      <c r="AR29" s="63"/>
      <c r="AT29" s="139"/>
      <c r="AV29" s="63"/>
    </row>
    <row r="30" spans="1:48" x14ac:dyDescent="0.3">
      <c r="A30" s="118" t="s">
        <v>72</v>
      </c>
      <c r="B30" s="118">
        <f>SQRT(SUMSQ(C30:G30)/SUM(C27:G27))</f>
        <v>2.2595873977083198E-3</v>
      </c>
      <c r="C30" s="139">
        <f>C21-$C$29</f>
        <v>4.3993857321468904E-3</v>
      </c>
      <c r="D30" s="118">
        <f>SQRT(SUMSQ(E30:I30)/SUM(E27:I27))</f>
        <v>1.8687351797029041E-3</v>
      </c>
      <c r="E30" s="139">
        <f>E21-$C$29</f>
        <v>-6.0507112710207062E-3</v>
      </c>
      <c r="G30" s="139">
        <f>G21-$C29</f>
        <v>1.2031970299577061E-3</v>
      </c>
      <c r="H30" s="139"/>
      <c r="I30" s="63"/>
      <c r="J30" s="139"/>
      <c r="L30" s="139"/>
      <c r="M30" s="63"/>
      <c r="N30" s="139"/>
      <c r="O30" s="63"/>
      <c r="P30" s="139"/>
      <c r="R30" s="139"/>
      <c r="T30" s="139"/>
      <c r="V30" s="75"/>
      <c r="X30" s="139"/>
      <c r="Z30" s="75"/>
      <c r="AB30" s="139"/>
      <c r="AD30" s="75"/>
      <c r="AF30" s="139"/>
      <c r="AH30" s="75"/>
      <c r="AJ30" s="139"/>
      <c r="AL30" s="139"/>
      <c r="AM30" s="63"/>
      <c r="AN30" s="75"/>
      <c r="AP30" s="139"/>
      <c r="AQ30" s="63"/>
      <c r="AR30" s="75"/>
      <c r="AT30" s="139"/>
      <c r="AV30" s="75"/>
    </row>
    <row r="31" spans="1:48" x14ac:dyDescent="0.3">
      <c r="A31" s="129" t="s">
        <v>119</v>
      </c>
      <c r="C31" s="118">
        <f>C27*C24</f>
        <v>200.06097103049308</v>
      </c>
      <c r="E31" s="118">
        <f>E27*E24</f>
        <v>459.44396661358161</v>
      </c>
      <c r="G31" s="63">
        <f>G27*G24</f>
        <v>1610.4353650318253</v>
      </c>
      <c r="I31" s="63"/>
      <c r="J31" s="63"/>
      <c r="M31" s="63"/>
      <c r="N31" s="63"/>
      <c r="O31" s="63"/>
      <c r="P31" s="63"/>
      <c r="T31" s="63"/>
      <c r="V31" s="63"/>
      <c r="Z31" s="63"/>
      <c r="AD31" s="63"/>
      <c r="AH31" s="63"/>
      <c r="AM31" s="63"/>
      <c r="AN31" s="63"/>
      <c r="AQ31" s="63"/>
      <c r="AR31" s="63"/>
      <c r="AV31" s="63"/>
    </row>
    <row r="32" spans="1:48" x14ac:dyDescent="0.3">
      <c r="A32" s="261" t="s">
        <v>120</v>
      </c>
      <c r="C32" s="139">
        <f>MOD(SUM(B31:G31)/SUM(B27:G27),360)</f>
        <v>190.28993231467459</v>
      </c>
      <c r="E32" s="139">
        <f>MOD(SUM(D31:I31)/SUM(D27:I27),360)</f>
        <v>189.92650410977637</v>
      </c>
      <c r="H32" s="139"/>
      <c r="I32" s="63"/>
      <c r="J32" s="139"/>
      <c r="L32" s="139"/>
      <c r="M32" s="63"/>
      <c r="N32" s="63"/>
      <c r="O32" s="63"/>
      <c r="P32" s="63"/>
      <c r="R32" s="139"/>
      <c r="T32" s="63"/>
      <c r="V32" s="139"/>
      <c r="Z32" s="139"/>
      <c r="AB32" s="139"/>
      <c r="AD32" s="139"/>
      <c r="AF32" s="139"/>
      <c r="AH32" s="63"/>
      <c r="AJ32" s="139"/>
      <c r="AL32" s="139"/>
      <c r="AM32" s="63"/>
      <c r="AN32" s="63"/>
      <c r="AP32" s="139"/>
      <c r="AQ32" s="63"/>
      <c r="AR32" s="63"/>
      <c r="AT32" s="139"/>
      <c r="AV32" s="63"/>
    </row>
    <row r="33" spans="1:48" x14ac:dyDescent="0.3">
      <c r="A33" s="118" t="s">
        <v>121</v>
      </c>
      <c r="B33" s="118">
        <f>SQRT(SUMSQ(C33:G33)/SUM(C27:G27))</f>
        <v>1.1938098050750998</v>
      </c>
      <c r="C33" s="139">
        <f>C24-$C$32</f>
        <v>3.8434021091778732</v>
      </c>
      <c r="D33" s="118">
        <f>SQRT(SUMSQ(E33:I33)/SUM(E27:I27))</f>
        <v>0.43282905430718649</v>
      </c>
      <c r="E33" s="139">
        <f>E24-$C$32</f>
        <v>-1.4277201319802941</v>
      </c>
      <c r="G33" s="139">
        <f>G24-$C$32</f>
        <v>-5.7591714912547332E-2</v>
      </c>
      <c r="H33" s="139"/>
      <c r="I33" s="63"/>
      <c r="J33" s="139"/>
      <c r="L33" s="139"/>
      <c r="M33" s="63"/>
      <c r="N33" s="139"/>
      <c r="O33" s="63"/>
      <c r="P33" s="139"/>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
      <c r="A34" s="251" t="s">
        <v>40</v>
      </c>
      <c r="B34" s="384"/>
      <c r="C34" s="384"/>
      <c r="D34" s="384"/>
      <c r="E34" s="384"/>
      <c r="F34" s="65"/>
      <c r="G34" s="65"/>
      <c r="I34" s="65"/>
      <c r="J34" s="65"/>
      <c r="M34" s="65"/>
      <c r="N34" s="65"/>
      <c r="O34" s="65"/>
      <c r="P34" s="65"/>
    </row>
    <row r="35" spans="1:48" s="127" customFormat="1" x14ac:dyDescent="0.3">
      <c r="A35" s="120" t="s">
        <v>54</v>
      </c>
      <c r="B35" s="120"/>
      <c r="C35" s="120"/>
      <c r="D35" s="120"/>
      <c r="E35" s="120"/>
      <c r="F35" s="67"/>
      <c r="G35" s="67"/>
      <c r="I35" s="67"/>
      <c r="J35" s="67"/>
      <c r="M35" s="67"/>
      <c r="N35" s="67"/>
      <c r="O35" s="67"/>
      <c r="P35" s="67"/>
    </row>
    <row r="36" spans="1:48" x14ac:dyDescent="0.3">
      <c r="A36" s="139" t="s">
        <v>42</v>
      </c>
      <c r="C36" s="147">
        <f>C8*$C29</f>
        <v>1.0216738680132829</v>
      </c>
      <c r="E36" s="147">
        <f>E8*$C29</f>
        <v>6.2577065022591123</v>
      </c>
      <c r="F36" s="63">
        <f>C36*B30/C29</f>
        <v>2.0712077817973379E-2</v>
      </c>
      <c r="G36" s="63" t="s">
        <v>358</v>
      </c>
      <c r="I36" s="63"/>
      <c r="J36" s="166"/>
      <c r="M36" s="63"/>
      <c r="N36" s="166"/>
      <c r="O36" s="63"/>
      <c r="P36" s="166"/>
      <c r="S36" s="63"/>
      <c r="T36" s="166"/>
      <c r="X36" s="147"/>
      <c r="AB36" s="147"/>
      <c r="AF36" s="147"/>
      <c r="AJ36" s="147"/>
      <c r="AL36" s="147"/>
      <c r="AP36" s="147"/>
      <c r="AT36" s="147"/>
    </row>
    <row r="37" spans="1:48" x14ac:dyDescent="0.3">
      <c r="A37" s="118" t="s">
        <v>50</v>
      </c>
      <c r="C37" s="141">
        <f>C36-C16</f>
        <v>-4.0326131986717195E-2</v>
      </c>
      <c r="E37" s="141">
        <f>E36-E16</f>
        <v>0.33970650225911214</v>
      </c>
      <c r="I37" s="63"/>
      <c r="J37" s="141"/>
      <c r="M37" s="63"/>
      <c r="N37" s="141"/>
      <c r="O37" s="63"/>
      <c r="P37" s="141"/>
      <c r="S37" s="63"/>
      <c r="T37" s="141"/>
      <c r="X37" s="141"/>
      <c r="AB37" s="141"/>
      <c r="AF37" s="141"/>
      <c r="AJ37" s="141"/>
      <c r="AL37" s="141"/>
      <c r="AP37" s="141"/>
      <c r="AT37" s="141"/>
    </row>
    <row r="38" spans="1:48" x14ac:dyDescent="0.3">
      <c r="A38" s="118" t="s">
        <v>51</v>
      </c>
      <c r="C38" s="142">
        <f>C37/C16</f>
        <v>-3.7971875693707337E-2</v>
      </c>
      <c r="E38" s="142">
        <f>E37/E16</f>
        <v>5.7402247762607661E-2</v>
      </c>
      <c r="I38" s="63"/>
      <c r="J38" s="142"/>
      <c r="M38" s="63"/>
      <c r="N38" s="142"/>
      <c r="O38" s="63"/>
      <c r="P38" s="142"/>
      <c r="S38" s="63"/>
      <c r="T38" s="142"/>
      <c r="X38" s="142"/>
      <c r="AB38" s="142"/>
      <c r="AF38" s="142"/>
      <c r="AJ38" s="142"/>
      <c r="AL38" s="142"/>
      <c r="AP38" s="142"/>
      <c r="AT38" s="142"/>
    </row>
    <row r="39" spans="1:48" x14ac:dyDescent="0.3">
      <c r="A39" s="74" t="s">
        <v>53</v>
      </c>
      <c r="B39" s="118">
        <f>AVERAGE(B37:C37)</f>
        <v>-4.0326131986717195E-2</v>
      </c>
      <c r="C39" s="142">
        <f>AVERAGE(C38:C38)</f>
        <v>-3.7971875693707337E-2</v>
      </c>
      <c r="D39" s="118">
        <f>AVERAGE(D37:E37)</f>
        <v>0.33970650225911214</v>
      </c>
      <c r="E39" s="142">
        <f>AVERAGE(E38:E38)</f>
        <v>5.7402247762607661E-2</v>
      </c>
      <c r="I39" s="63"/>
      <c r="J39" s="142"/>
      <c r="M39" s="63"/>
      <c r="N39" s="142"/>
      <c r="O39" s="63"/>
      <c r="P39" s="142"/>
      <c r="S39" s="63"/>
      <c r="T39" s="142"/>
      <c r="X39" s="142"/>
      <c r="AB39" s="142"/>
      <c r="AF39" s="142"/>
      <c r="AJ39" s="142"/>
      <c r="AL39" s="142"/>
      <c r="AP39" s="142"/>
      <c r="AT39" s="142"/>
    </row>
    <row r="40" spans="1:48" x14ac:dyDescent="0.3">
      <c r="A40" s="74" t="s">
        <v>52</v>
      </c>
      <c r="B40" s="118" t="e">
        <f>STDEV(B37:C37)</f>
        <v>#DIV/0!</v>
      </c>
      <c r="C40" s="142" t="e">
        <f>STDEV(C38:C38)</f>
        <v>#DIV/0!</v>
      </c>
      <c r="D40" s="118" t="e">
        <f>STDEV(D37:E37)</f>
        <v>#DIV/0!</v>
      </c>
      <c r="E40" s="142" t="e">
        <f>STDEV(E38:E38)</f>
        <v>#DIV/0!</v>
      </c>
      <c r="I40" s="63"/>
      <c r="J40" s="142"/>
      <c r="M40" s="63"/>
      <c r="N40" s="142"/>
      <c r="O40" s="63"/>
      <c r="P40" s="142"/>
      <c r="S40" s="63"/>
      <c r="T40" s="142"/>
      <c r="X40" s="142"/>
      <c r="AB40" s="142"/>
      <c r="AF40" s="142"/>
      <c r="AJ40" s="142"/>
      <c r="AL40" s="142"/>
      <c r="AP40" s="142"/>
      <c r="AT40" s="142"/>
    </row>
    <row r="41" spans="1:48" x14ac:dyDescent="0.3">
      <c r="C41" s="142"/>
      <c r="E41" s="142"/>
      <c r="I41" s="63"/>
      <c r="J41" s="142"/>
      <c r="M41" s="63"/>
      <c r="N41" s="142"/>
      <c r="O41" s="63"/>
      <c r="P41" s="142"/>
      <c r="S41" s="63"/>
      <c r="T41" s="142"/>
      <c r="X41" s="142"/>
      <c r="AB41" s="142"/>
      <c r="AF41" s="142"/>
      <c r="AJ41" s="142"/>
      <c r="AL41" s="142"/>
      <c r="AP41" s="142"/>
      <c r="AT41" s="142"/>
    </row>
    <row r="42" spans="1:48" x14ac:dyDescent="0.3">
      <c r="A42" s="139" t="s">
        <v>43</v>
      </c>
      <c r="C42" s="141">
        <f>MOD(C9-$C32,360)</f>
        <v>41.00340210917787</v>
      </c>
      <c r="E42" s="141">
        <f>MOD(E9-$C32,360)</f>
        <v>66.882279868019708</v>
      </c>
      <c r="F42" s="63">
        <f>B33</f>
        <v>1.1938098050750998</v>
      </c>
      <c r="G42" s="141" t="s">
        <v>358</v>
      </c>
      <c r="I42" s="63"/>
      <c r="J42" s="167"/>
      <c r="M42" s="63"/>
      <c r="N42" s="167"/>
      <c r="O42" s="63"/>
      <c r="P42" s="167"/>
      <c r="S42" s="63"/>
      <c r="T42" s="167"/>
      <c r="X42" s="141"/>
      <c r="AB42" s="141"/>
      <c r="AF42" s="141"/>
      <c r="AJ42" s="141"/>
      <c r="AL42" s="141"/>
      <c r="AP42" s="141"/>
      <c r="AT42" s="141"/>
    </row>
    <row r="43" spans="1:48" x14ac:dyDescent="0.3">
      <c r="A43" s="118" t="s">
        <v>55</v>
      </c>
      <c r="C43" s="141">
        <f>C42-C17</f>
        <v>3.8434021091778732</v>
      </c>
      <c r="E43" s="141">
        <f>E42-E17</f>
        <v>-1.4277201319802941</v>
      </c>
      <c r="G43" s="141"/>
      <c r="I43" s="63"/>
      <c r="J43" s="141"/>
      <c r="M43" s="63"/>
      <c r="N43" s="141"/>
      <c r="O43" s="63"/>
      <c r="P43" s="141"/>
      <c r="S43" s="63"/>
      <c r="T43" s="141"/>
      <c r="X43" s="141"/>
      <c r="AB43" s="141"/>
      <c r="AF43" s="141"/>
      <c r="AJ43" s="141"/>
      <c r="AL43" s="141"/>
      <c r="AP43" s="141"/>
      <c r="AT43" s="141"/>
    </row>
    <row r="44" spans="1:48" x14ac:dyDescent="0.3">
      <c r="A44" s="118" t="s">
        <v>56</v>
      </c>
      <c r="B44" s="118">
        <f>AVERAGE(B43:C43)</f>
        <v>3.8434021091778732</v>
      </c>
      <c r="C44" s="141"/>
      <c r="D44" s="118">
        <f>AVERAGE(D43:E43)</f>
        <v>-1.4277201319802941</v>
      </c>
      <c r="E44" s="141"/>
      <c r="G44" s="101"/>
      <c r="I44" s="63"/>
      <c r="J44" s="101"/>
      <c r="M44" s="63"/>
      <c r="N44" s="101"/>
      <c r="O44" s="63"/>
      <c r="P44" s="101"/>
      <c r="S44" s="63"/>
      <c r="T44" s="101"/>
      <c r="X44" s="141"/>
      <c r="AB44" s="141"/>
      <c r="AF44" s="141"/>
      <c r="AJ44" s="141"/>
      <c r="AL44" s="141"/>
      <c r="AP44" s="141"/>
      <c r="AT44" s="141"/>
    </row>
    <row r="45" spans="1:48" x14ac:dyDescent="0.3">
      <c r="A45" s="118" t="s">
        <v>57</v>
      </c>
      <c r="B45" s="118" t="e">
        <f>STDEV(B43:C43)</f>
        <v>#DIV/0!</v>
      </c>
      <c r="C45" s="141"/>
      <c r="D45" s="118" t="e">
        <f>STDEV(D43:E43)</f>
        <v>#DIV/0!</v>
      </c>
      <c r="E45" s="141"/>
      <c r="I45" s="63"/>
      <c r="J45" s="63"/>
      <c r="M45" s="63"/>
      <c r="N45" s="63"/>
      <c r="O45" s="63"/>
      <c r="P45" s="63"/>
      <c r="S45" s="63"/>
      <c r="T45" s="63"/>
      <c r="X45" s="141"/>
      <c r="AB45" s="141"/>
      <c r="AF45" s="141"/>
      <c r="AJ45" s="141"/>
      <c r="AL45" s="141"/>
      <c r="AP45" s="141"/>
      <c r="AT45" s="141"/>
    </row>
    <row r="46" spans="1:48" x14ac:dyDescent="0.3">
      <c r="C46" s="141"/>
      <c r="E46" s="141"/>
      <c r="I46" s="63"/>
      <c r="J46" s="63"/>
      <c r="M46" s="63"/>
      <c r="N46" s="63"/>
      <c r="O46" s="63"/>
      <c r="P46" s="63"/>
      <c r="S46" s="63"/>
      <c r="T46" s="63"/>
      <c r="X46" s="141"/>
      <c r="AB46" s="141"/>
      <c r="AF46" s="141"/>
      <c r="AJ46" s="141"/>
      <c r="AL46" s="141"/>
      <c r="AP46" s="141"/>
      <c r="AT46" s="141"/>
    </row>
    <row r="47" spans="1:48" x14ac:dyDescent="0.3">
      <c r="A47" s="118" t="s">
        <v>44</v>
      </c>
      <c r="B47" s="72">
        <f>-C36*SIN((C42)/180*PI())</f>
        <v>-0.67032414903692128</v>
      </c>
      <c r="C47" s="72">
        <f>C36*COS((C42)/180*PI())</f>
        <v>0.77102725490033774</v>
      </c>
      <c r="D47" s="72">
        <f>-E36*SIN((E42)/180*PI())</f>
        <v>-5.7552133798118064</v>
      </c>
      <c r="E47" s="72">
        <f>E36*COS((E42)/180*PI())</f>
        <v>2.4569105847081909</v>
      </c>
      <c r="I47" s="72"/>
      <c r="J47" s="72"/>
      <c r="M47" s="72"/>
      <c r="N47" s="72"/>
      <c r="O47" s="72"/>
      <c r="P47" s="72"/>
      <c r="S47" s="72"/>
      <c r="T47" s="72"/>
      <c r="W47" s="72"/>
      <c r="X47" s="72"/>
      <c r="AA47" s="72"/>
      <c r="AB47" s="72"/>
      <c r="AE47" s="72"/>
      <c r="AF47" s="72"/>
      <c r="AI47" s="72"/>
      <c r="AJ47" s="72"/>
      <c r="AK47" s="72"/>
      <c r="AL47" s="72"/>
      <c r="AO47" s="72"/>
      <c r="AP47" s="72"/>
      <c r="AS47" s="72"/>
      <c r="AT47" s="72"/>
    </row>
    <row r="48" spans="1:48" s="129" customFormat="1" x14ac:dyDescent="0.3">
      <c r="A48" s="118" t="s">
        <v>45</v>
      </c>
      <c r="B48" s="72">
        <f>B47-B18</f>
        <v>-2.8830605396305109E-2</v>
      </c>
      <c r="C48" s="72">
        <f>C47-C18</f>
        <v>-7.5335571237131971E-2</v>
      </c>
      <c r="D48" s="72">
        <f>D47-D18</f>
        <v>-0.25622499902960438</v>
      </c>
      <c r="E48" s="72">
        <f>E47-E18</f>
        <v>0.26970899637154666</v>
      </c>
      <c r="F48" s="63"/>
      <c r="G48" s="63"/>
      <c r="I48" s="72"/>
      <c r="J48" s="72"/>
      <c r="M48" s="72"/>
      <c r="N48" s="72"/>
      <c r="O48" s="72"/>
      <c r="P48" s="72"/>
      <c r="S48" s="72"/>
      <c r="T48" s="72"/>
      <c r="W48" s="72"/>
      <c r="X48" s="72"/>
      <c r="AA48" s="72"/>
      <c r="AB48" s="72"/>
      <c r="AE48" s="72"/>
      <c r="AF48" s="72"/>
      <c r="AI48" s="72"/>
      <c r="AJ48" s="72"/>
      <c r="AK48" s="72"/>
      <c r="AL48" s="72"/>
      <c r="AO48" s="72"/>
      <c r="AP48" s="72"/>
      <c r="AS48" s="72"/>
      <c r="AT48" s="72"/>
    </row>
    <row r="49" spans="1:46" x14ac:dyDescent="0.3">
      <c r="A49" s="118" t="s">
        <v>46</v>
      </c>
      <c r="B49" s="118">
        <f>B48^2</f>
        <v>8.3120380751745728E-4</v>
      </c>
      <c r="C49" s="118">
        <f>C48^2</f>
        <v>5.6754482936249859E-3</v>
      </c>
      <c r="D49" s="118">
        <f>D48^2</f>
        <v>6.5651250127720773E-2</v>
      </c>
      <c r="E49" s="118">
        <f>E48^2</f>
        <v>7.274294272374697E-2</v>
      </c>
    </row>
    <row r="50" spans="1:46" s="129" customFormat="1" x14ac:dyDescent="0.3">
      <c r="A50" s="118" t="s">
        <v>47</v>
      </c>
      <c r="B50" s="72"/>
      <c r="C50" s="72">
        <f>SQRT(B49+C49)</f>
        <v>8.0663821513380113E-2</v>
      </c>
      <c r="D50" s="72"/>
      <c r="E50" s="72">
        <f>SQRT(D49+E49)</f>
        <v>0.37201369981691235</v>
      </c>
      <c r="F50" s="63"/>
      <c r="G50" s="63"/>
      <c r="I50" s="72"/>
      <c r="J50" s="72"/>
      <c r="M50" s="72"/>
      <c r="N50" s="72"/>
      <c r="O50" s="72"/>
      <c r="P50" s="72"/>
      <c r="S50" s="72"/>
      <c r="T50" s="72"/>
      <c r="W50" s="72"/>
      <c r="X50" s="72"/>
      <c r="AA50" s="72"/>
      <c r="AB50" s="72"/>
      <c r="AE50" s="72"/>
      <c r="AF50" s="72"/>
      <c r="AI50" s="72"/>
      <c r="AJ50" s="72"/>
      <c r="AK50" s="72"/>
      <c r="AL50" s="72"/>
      <c r="AO50" s="72"/>
      <c r="AP50" s="72"/>
      <c r="AS50" s="72"/>
      <c r="AT50" s="72"/>
    </row>
    <row r="51" spans="1:46" s="129" customFormat="1" x14ac:dyDescent="0.3">
      <c r="A51" s="118" t="s">
        <v>48</v>
      </c>
      <c r="B51" s="72"/>
      <c r="C51" s="77">
        <f>C50/C36</f>
        <v>7.8952612999916127E-2</v>
      </c>
      <c r="D51" s="72"/>
      <c r="E51" s="77">
        <f>E50/E36</f>
        <v>5.9448889091012917E-2</v>
      </c>
      <c r="F51" s="63"/>
      <c r="G51" s="63"/>
      <c r="I51" s="72"/>
      <c r="J51" s="77"/>
      <c r="M51" s="72"/>
      <c r="N51" s="77"/>
      <c r="O51" s="72"/>
      <c r="P51" s="77"/>
      <c r="S51" s="72"/>
      <c r="T51" s="77"/>
      <c r="W51" s="72"/>
      <c r="X51" s="77"/>
      <c r="AA51" s="72"/>
      <c r="AB51" s="77"/>
      <c r="AE51" s="72"/>
      <c r="AF51" s="77"/>
      <c r="AI51" s="72"/>
      <c r="AJ51" s="77"/>
      <c r="AK51" s="72"/>
      <c r="AL51" s="77"/>
      <c r="AO51" s="72"/>
      <c r="AP51" s="77"/>
      <c r="AS51" s="72"/>
      <c r="AT51" s="77"/>
    </row>
    <row r="52" spans="1:46" s="129" customFormat="1" x14ac:dyDescent="0.3">
      <c r="A52" s="118"/>
      <c r="B52" s="72"/>
      <c r="C52" s="144"/>
      <c r="D52" s="72"/>
      <c r="E52" s="144"/>
      <c r="F52" s="63"/>
      <c r="G52" s="63"/>
      <c r="W52" s="72"/>
      <c r="X52" s="144"/>
      <c r="AA52" s="72"/>
      <c r="AB52" s="144"/>
      <c r="AE52" s="72"/>
      <c r="AF52" s="144"/>
      <c r="AI52" s="72"/>
      <c r="AJ52" s="144"/>
      <c r="AK52" s="72"/>
      <c r="AL52" s="144"/>
      <c r="AO52" s="72"/>
      <c r="AP52" s="144"/>
      <c r="AS52" s="72"/>
      <c r="AT52" s="144"/>
    </row>
    <row r="53" spans="1:46" s="129" customFormat="1" x14ac:dyDescent="0.3">
      <c r="A53" s="118" t="s">
        <v>89</v>
      </c>
      <c r="B53" s="72">
        <f>MEDIAN(B50:C50)</f>
        <v>8.0663821513380113E-2</v>
      </c>
      <c r="C53" s="144"/>
      <c r="D53" s="72">
        <f>MEDIAN(D50:E50)</f>
        <v>0.37201369981691235</v>
      </c>
      <c r="E53" s="144"/>
      <c r="F53" s="63"/>
      <c r="G53" s="63"/>
      <c r="W53" s="72"/>
      <c r="X53" s="144"/>
      <c r="AA53" s="72"/>
      <c r="AB53" s="144"/>
      <c r="AE53" s="72"/>
      <c r="AF53" s="144"/>
      <c r="AI53" s="72"/>
      <c r="AJ53" s="144"/>
      <c r="AK53" s="72"/>
      <c r="AL53" s="144"/>
      <c r="AO53" s="72"/>
      <c r="AP53" s="144"/>
      <c r="AS53" s="72"/>
      <c r="AT53" s="144"/>
    </row>
    <row r="54" spans="1:46" s="129" customFormat="1" x14ac:dyDescent="0.3">
      <c r="A54" s="118" t="s">
        <v>81</v>
      </c>
      <c r="B54" s="72">
        <f>AVERAGE(B50:C50)</f>
        <v>8.0663821513380113E-2</v>
      </c>
      <c r="C54" s="144"/>
      <c r="D54" s="72">
        <f>AVERAGE(D50:E50)</f>
        <v>0.37201369981691235</v>
      </c>
      <c r="E54" s="144"/>
      <c r="F54" s="63"/>
      <c r="G54" s="63"/>
      <c r="W54" s="72"/>
      <c r="X54" s="144"/>
      <c r="AA54" s="72"/>
      <c r="AB54" s="144"/>
      <c r="AE54" s="72"/>
      <c r="AF54" s="144"/>
      <c r="AI54" s="72"/>
      <c r="AJ54" s="144"/>
      <c r="AK54" s="72"/>
      <c r="AL54" s="144"/>
      <c r="AO54" s="72"/>
      <c r="AP54" s="144"/>
      <c r="AS54" s="72"/>
      <c r="AT54" s="144"/>
    </row>
    <row r="55" spans="1:46" s="129" customFormat="1" x14ac:dyDescent="0.3">
      <c r="A55" s="118" t="s">
        <v>82</v>
      </c>
      <c r="B55" s="72" t="e">
        <f>STDEV(B50:C50)</f>
        <v>#DIV/0!</v>
      </c>
      <c r="C55" s="144"/>
      <c r="D55" s="72" t="e">
        <f>STDEV(D50:E50)</f>
        <v>#DIV/0!</v>
      </c>
      <c r="E55" s="144"/>
      <c r="F55" s="63"/>
      <c r="G55" s="63"/>
      <c r="W55" s="72"/>
      <c r="X55" s="144"/>
      <c r="AA55" s="72"/>
      <c r="AB55" s="144"/>
      <c r="AE55" s="72"/>
      <c r="AF55" s="144"/>
      <c r="AI55" s="72"/>
      <c r="AJ55" s="144"/>
      <c r="AK55" s="72"/>
      <c r="AL55" s="144"/>
      <c r="AO55" s="72"/>
      <c r="AP55" s="144"/>
      <c r="AS55" s="72"/>
      <c r="AT55" s="144"/>
    </row>
    <row r="56" spans="1:46" s="129" customFormat="1" x14ac:dyDescent="0.3">
      <c r="A56" s="118" t="s">
        <v>83</v>
      </c>
      <c r="B56" s="72"/>
      <c r="C56" s="144"/>
      <c r="D56" s="144"/>
      <c r="E56" s="144"/>
      <c r="F56" s="63"/>
      <c r="G56" s="63"/>
      <c r="W56" s="72"/>
      <c r="X56" s="144"/>
      <c r="AA56" s="72"/>
      <c r="AB56" s="144"/>
      <c r="AE56" s="72"/>
      <c r="AF56" s="144"/>
      <c r="AI56" s="72"/>
      <c r="AJ56" s="144"/>
      <c r="AK56" s="72"/>
      <c r="AL56" s="144"/>
      <c r="AO56" s="72"/>
      <c r="AP56" s="144"/>
      <c r="AS56" s="72"/>
      <c r="AT56" s="144"/>
    </row>
    <row r="57" spans="1:46" s="129" customFormat="1" x14ac:dyDescent="0.3">
      <c r="A57" s="118"/>
      <c r="B57" s="72"/>
      <c r="C57" s="72"/>
      <c r="D57" s="72"/>
      <c r="E57" s="72"/>
      <c r="F57" s="63"/>
      <c r="G57" s="63"/>
      <c r="W57" s="72"/>
      <c r="X57" s="72"/>
      <c r="AA57" s="72"/>
      <c r="AB57" s="72"/>
      <c r="AE57" s="72"/>
      <c r="AF57" s="72"/>
      <c r="AI57" s="72"/>
      <c r="AJ57" s="72"/>
      <c r="AK57" s="72"/>
      <c r="AL57" s="72"/>
      <c r="AO57" s="72"/>
      <c r="AP57" s="72"/>
      <c r="AS57" s="72"/>
      <c r="AT57" s="72"/>
    </row>
    <row r="58" spans="1:46" s="129" customFormat="1" x14ac:dyDescent="0.3">
      <c r="B58" s="139"/>
      <c r="C58" s="139"/>
      <c r="D58" s="139"/>
      <c r="E58" s="139"/>
      <c r="F58" s="63"/>
      <c r="G58" s="63"/>
      <c r="W58" s="139"/>
      <c r="X58" s="139"/>
      <c r="AA58" s="139"/>
      <c r="AB58" s="139"/>
      <c r="AE58" s="139"/>
      <c r="AF58" s="139"/>
      <c r="AI58" s="139"/>
      <c r="AJ58" s="139"/>
      <c r="AK58" s="139"/>
      <c r="AL58" s="139"/>
      <c r="AO58" s="139"/>
      <c r="AP58" s="139"/>
      <c r="AS58" s="139"/>
      <c r="AT58" s="139"/>
    </row>
    <row r="59" spans="1:46" x14ac:dyDescent="0.3">
      <c r="A59" s="139" t="s">
        <v>115</v>
      </c>
      <c r="B59" s="166">
        <f>AVERAGE(C37:E37)</f>
        <v>0.14969018513619747</v>
      </c>
      <c r="C59" s="302">
        <f>AVERAGE(C38:E38)</f>
        <v>9.7151860344501621E-3</v>
      </c>
      <c r="W59" s="166"/>
      <c r="AA59" s="166"/>
      <c r="AE59" s="166"/>
      <c r="AI59" s="166"/>
      <c r="AK59" s="166"/>
      <c r="AO59" s="166"/>
      <c r="AS59" s="166"/>
    </row>
    <row r="60" spans="1:46" x14ac:dyDescent="0.3">
      <c r="A60" s="129" t="s">
        <v>116</v>
      </c>
      <c r="B60" s="166">
        <f>STDEV(C37:E37)</f>
        <v>0.26872365274741289</v>
      </c>
      <c r="C60" s="118">
        <f>STDEV(C38:E38)</f>
        <v>6.7439689445683293E-2</v>
      </c>
      <c r="W60" s="166"/>
      <c r="AA60" s="166"/>
      <c r="AE60" s="166"/>
      <c r="AI60" s="166"/>
      <c r="AK60" s="166"/>
      <c r="AO60" s="166"/>
      <c r="AS60" s="166"/>
    </row>
    <row r="61" spans="1:46" x14ac:dyDescent="0.3">
      <c r="A61" s="129" t="s">
        <v>117</v>
      </c>
      <c r="B61" s="166"/>
      <c r="W61" s="166"/>
      <c r="AA61" s="166"/>
      <c r="AE61" s="166"/>
      <c r="AI61" s="166"/>
      <c r="AK61" s="166"/>
      <c r="AO61" s="166"/>
      <c r="AS61" s="166"/>
    </row>
    <row r="62" spans="1:46" x14ac:dyDescent="0.3">
      <c r="A62" s="129" t="s">
        <v>118</v>
      </c>
      <c r="B62" s="166"/>
      <c r="W62" s="166"/>
      <c r="AA62" s="166"/>
      <c r="AE62" s="166"/>
      <c r="AI62" s="166"/>
      <c r="AK62" s="166"/>
      <c r="AO62" s="166"/>
      <c r="AS62" s="166"/>
    </row>
  </sheetData>
  <mergeCells count="10">
    <mergeCell ref="AS10:AT10"/>
    <mergeCell ref="B10:C10"/>
    <mergeCell ref="F10:G10"/>
    <mergeCell ref="D34:E34"/>
    <mergeCell ref="D10:E10"/>
    <mergeCell ref="B19:C19"/>
    <mergeCell ref="B34:C34"/>
    <mergeCell ref="M10:N10"/>
    <mergeCell ref="O10:P10"/>
    <mergeCell ref="AO10:AP10"/>
  </mergeCells>
  <pageMargins left="0.7" right="0.7" top="0.75" bottom="0.75" header="0.3" footer="0.3"/>
  <pageSetup scale="26"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62"/>
  <sheetViews>
    <sheetView zoomScale="85" zoomScaleNormal="85" workbookViewId="0">
      <pane xSplit="1" ySplit="2" topLeftCell="C3" activePane="bottomRight" state="frozenSplit"/>
      <selection pane="topRight"/>
      <selection pane="bottomLeft" activeCell="A3" sqref="A3"/>
      <selection pane="bottomRight" activeCell="I4" sqref="I4"/>
    </sheetView>
  </sheetViews>
  <sheetFormatPr defaultColWidth="9.109375" defaultRowHeight="14.4" x14ac:dyDescent="0.3"/>
  <cols>
    <col min="1" max="1" width="28" style="118" customWidth="1"/>
    <col min="2" max="5" width="11.6640625" style="118" customWidth="1"/>
    <col min="6" max="6" width="9.109375" style="63" customWidth="1"/>
    <col min="7" max="7" width="10" style="63" customWidth="1"/>
    <col min="8" max="9" width="9.109375" style="118"/>
    <col min="10" max="10" width="9.109375" style="63" customWidth="1"/>
    <col min="11" max="11" width="10" style="63" customWidth="1"/>
    <col min="12" max="15" width="9.109375" style="118"/>
    <col min="16" max="16" width="9.109375" style="63" customWidth="1"/>
    <col min="17" max="17" width="10" style="63" customWidth="1"/>
    <col min="18" max="16384" width="9.109375" style="118"/>
  </cols>
  <sheetData>
    <row r="1" spans="1:48" s="127" customFormat="1" x14ac:dyDescent="0.3">
      <c r="A1" s="120" t="s">
        <v>39</v>
      </c>
      <c r="B1" s="120"/>
      <c r="C1" s="120"/>
      <c r="D1" s="120"/>
      <c r="E1" s="120"/>
      <c r="F1" s="67"/>
      <c r="G1" s="67"/>
      <c r="J1" s="67"/>
      <c r="K1" s="67"/>
      <c r="P1" s="67"/>
      <c r="Q1" s="67"/>
    </row>
    <row r="2" spans="1:48" s="249" customFormat="1" x14ac:dyDescent="0.3">
      <c r="B2" s="116"/>
      <c r="C2" s="116" t="s">
        <v>371</v>
      </c>
      <c r="E2" s="116" t="s">
        <v>370</v>
      </c>
      <c r="F2" s="61"/>
      <c r="G2" s="61" t="s">
        <v>373</v>
      </c>
      <c r="H2" s="61"/>
      <c r="I2" s="61"/>
      <c r="J2" s="61"/>
      <c r="K2" s="61" t="s">
        <v>374</v>
      </c>
      <c r="L2" s="61"/>
      <c r="M2" s="83" t="s">
        <v>376</v>
      </c>
      <c r="N2" s="256"/>
      <c r="O2" s="300" t="s">
        <v>377</v>
      </c>
      <c r="P2" s="61"/>
      <c r="Q2" s="61" t="s">
        <v>375</v>
      </c>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
      <c r="B3" s="116" t="s">
        <v>61</v>
      </c>
      <c r="C3" s="116" t="s">
        <v>60</v>
      </c>
      <c r="D3" s="116"/>
      <c r="E3" s="116"/>
      <c r="F3" s="61"/>
      <c r="G3" s="61"/>
      <c r="J3" s="61"/>
      <c r="K3" s="61"/>
      <c r="P3" s="61"/>
      <c r="Q3" s="61"/>
      <c r="S3" s="259"/>
      <c r="T3" s="259"/>
      <c r="W3" s="118"/>
      <c r="X3" s="118"/>
    </row>
    <row r="4" spans="1:48" x14ac:dyDescent="0.3">
      <c r="A4" s="118" t="s">
        <v>1</v>
      </c>
      <c r="B4" s="118">
        <v>846.12</v>
      </c>
      <c r="C4" s="118">
        <f>960-464.847</f>
        <v>495.15300000000002</v>
      </c>
      <c r="D4" s="118">
        <v>846.12</v>
      </c>
      <c r="E4" s="118">
        <f>960-464.847</f>
        <v>495.15300000000002</v>
      </c>
      <c r="F4" s="63">
        <v>892</v>
      </c>
      <c r="G4" s="63">
        <v>666</v>
      </c>
      <c r="H4" s="217">
        <v>659.08399999999995</v>
      </c>
      <c r="I4" s="217">
        <f>960-334.49</f>
        <v>625.51</v>
      </c>
      <c r="J4" s="63">
        <v>700</v>
      </c>
      <c r="K4" s="63">
        <v>645</v>
      </c>
      <c r="L4" s="217">
        <v>773.18499999999995</v>
      </c>
      <c r="M4" s="217">
        <f>960-337.353</f>
        <v>622.64699999999993</v>
      </c>
      <c r="N4" s="217">
        <v>773.18499999999995</v>
      </c>
      <c r="O4" s="217">
        <f>960-337.353</f>
        <v>622.64699999999993</v>
      </c>
      <c r="P4" s="63">
        <v>776</v>
      </c>
      <c r="Q4" s="63">
        <v>784</v>
      </c>
      <c r="R4" s="217"/>
      <c r="S4" s="260"/>
      <c r="T4" s="258"/>
      <c r="Z4" s="217"/>
      <c r="AM4" s="63"/>
      <c r="AN4" s="63"/>
      <c r="AR4" s="217"/>
      <c r="AV4" s="217"/>
    </row>
    <row r="5" spans="1:48" x14ac:dyDescent="0.3">
      <c r="A5" s="118" t="s">
        <v>2</v>
      </c>
      <c r="B5" s="118">
        <v>840.28499999999997</v>
      </c>
      <c r="C5" s="118">
        <f>960-457.923</f>
        <v>502.077</v>
      </c>
      <c r="D5" s="118">
        <v>833.58500000000004</v>
      </c>
      <c r="E5" s="118">
        <f>960-409.599</f>
        <v>550.40100000000007</v>
      </c>
      <c r="F5" s="63">
        <v>771</v>
      </c>
      <c r="G5" s="63">
        <v>46</v>
      </c>
      <c r="H5" s="225">
        <v>643.35</v>
      </c>
      <c r="I5" s="225">
        <f>960-348.84</f>
        <v>611.16000000000008</v>
      </c>
      <c r="J5" s="63">
        <v>564</v>
      </c>
      <c r="K5" s="63">
        <v>14</v>
      </c>
      <c r="L5" s="217">
        <v>770.17499999999995</v>
      </c>
      <c r="M5" s="217">
        <f>960-322.126</f>
        <v>637.87400000000002</v>
      </c>
      <c r="N5" s="217">
        <v>716.70399999999995</v>
      </c>
      <c r="O5" s="217">
        <f>960-386.095</f>
        <v>573.90499999999997</v>
      </c>
      <c r="P5" s="63">
        <v>677</v>
      </c>
      <c r="Q5" s="63">
        <v>262</v>
      </c>
      <c r="R5" s="217"/>
      <c r="S5" s="260"/>
      <c r="T5" s="258"/>
      <c r="Z5" s="217"/>
      <c r="AM5" s="63"/>
      <c r="AN5" s="63"/>
      <c r="AR5" s="217"/>
      <c r="AV5" s="217"/>
    </row>
    <row r="6" spans="1:48" x14ac:dyDescent="0.3">
      <c r="A6" s="118" t="s">
        <v>4</v>
      </c>
      <c r="B6" s="118">
        <f t="shared" ref="B6:G6" si="0">B5-B4</f>
        <v>-5.8350000000000364</v>
      </c>
      <c r="C6" s="118">
        <f t="shared" si="0"/>
        <v>6.9239999999999782</v>
      </c>
      <c r="D6" s="118">
        <f>D5-D4</f>
        <v>-12.534999999999968</v>
      </c>
      <c r="E6" s="118">
        <f>E5-E4</f>
        <v>55.248000000000047</v>
      </c>
      <c r="F6" s="63">
        <f t="shared" si="0"/>
        <v>-121</v>
      </c>
      <c r="G6" s="63">
        <f t="shared" si="0"/>
        <v>-620</v>
      </c>
      <c r="H6" s="118">
        <f t="shared" ref="H6:Q6" si="1">H5-H4</f>
        <v>-15.733999999999924</v>
      </c>
      <c r="I6" s="118">
        <f t="shared" si="1"/>
        <v>-14.349999999999909</v>
      </c>
      <c r="J6" s="63">
        <f t="shared" si="1"/>
        <v>-136</v>
      </c>
      <c r="K6" s="63">
        <f t="shared" si="1"/>
        <v>-631</v>
      </c>
      <c r="L6" s="118">
        <f t="shared" si="1"/>
        <v>-3.0099999999999909</v>
      </c>
      <c r="M6" s="118">
        <f t="shared" si="1"/>
        <v>15.227000000000089</v>
      </c>
      <c r="N6" s="118">
        <f t="shared" si="1"/>
        <v>-56.480999999999995</v>
      </c>
      <c r="O6" s="118">
        <f t="shared" si="1"/>
        <v>-48.741999999999962</v>
      </c>
      <c r="P6" s="63">
        <f t="shared" si="1"/>
        <v>-99</v>
      </c>
      <c r="Q6" s="63">
        <f t="shared" si="1"/>
        <v>-522</v>
      </c>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
      <c r="A7" s="118" t="s">
        <v>5</v>
      </c>
      <c r="B7" s="118">
        <f t="shared" ref="B7:G7" si="2">B6^2</f>
        <v>34.047225000000424</v>
      </c>
      <c r="C7" s="118">
        <f t="shared" si="2"/>
        <v>47.941775999999699</v>
      </c>
      <c r="D7" s="118">
        <f>D6^2</f>
        <v>157.12622499999921</v>
      </c>
      <c r="E7" s="118">
        <f>E6^2</f>
        <v>3052.3415040000054</v>
      </c>
      <c r="F7" s="63">
        <f t="shared" si="2"/>
        <v>14641</v>
      </c>
      <c r="G7" s="63">
        <f t="shared" si="2"/>
        <v>384400</v>
      </c>
      <c r="H7" s="118">
        <f t="shared" ref="H7:Q7" si="3">H6^2</f>
        <v>247.5587559999976</v>
      </c>
      <c r="I7" s="118">
        <f t="shared" si="3"/>
        <v>205.9224999999974</v>
      </c>
      <c r="J7" s="63">
        <f t="shared" si="3"/>
        <v>18496</v>
      </c>
      <c r="K7" s="63">
        <f t="shared" si="3"/>
        <v>398161</v>
      </c>
      <c r="L7" s="118">
        <f t="shared" si="3"/>
        <v>9.0600999999999452</v>
      </c>
      <c r="M7" s="118">
        <f t="shared" si="3"/>
        <v>231.86152900000272</v>
      </c>
      <c r="N7" s="118">
        <f t="shared" si="3"/>
        <v>3190.1033609999995</v>
      </c>
      <c r="O7" s="118">
        <f t="shared" si="3"/>
        <v>2375.7825639999965</v>
      </c>
      <c r="P7" s="63">
        <f t="shared" si="3"/>
        <v>9801</v>
      </c>
      <c r="Q7" s="63">
        <f t="shared" si="3"/>
        <v>272484</v>
      </c>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
      <c r="A8" s="118" t="s">
        <v>6</v>
      </c>
      <c r="C8" s="118">
        <f>SQRT(SUM(B7:C7))</f>
        <v>9.0547777995928822</v>
      </c>
      <c r="E8" s="118">
        <f>SQRT(SUM(D7:E7))</f>
        <v>56.652164380542466</v>
      </c>
      <c r="G8" s="63">
        <f>SQRT(SUM(F7:G7))</f>
        <v>631.6969209993033</v>
      </c>
      <c r="I8" s="118">
        <f>SQRT(SUM(H7:I7))</f>
        <v>21.295099342336844</v>
      </c>
      <c r="K8" s="63">
        <f>SQRT(SUM(J7:K7))</f>
        <v>645.48973655667055</v>
      </c>
      <c r="M8" s="118">
        <f>SQRT(SUM(L7:M7))</f>
        <v>15.52165033106991</v>
      </c>
      <c r="O8" s="118">
        <f>SQRT(SUM(N7:O7))</f>
        <v>74.604865290408483</v>
      </c>
      <c r="Q8" s="63">
        <f>SQRT(SUM(P7:Q7))</f>
        <v>531.30499715323595</v>
      </c>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
      <c r="A9" s="118" t="s">
        <v>7</v>
      </c>
      <c r="C9" s="118">
        <f>MOD(ATAN2(C6,B6)*180/PI()+270,360)</f>
        <v>229.87845827062614</v>
      </c>
      <c r="E9" s="118">
        <f>MOD(ATAN2(E6,D6)*180/PI()+270,360)</f>
        <v>257.21680299192053</v>
      </c>
      <c r="G9" s="63">
        <f>MOD(ATAN2(G6,F6)*180/PI()+270,360)</f>
        <v>101.04311146194743</v>
      </c>
      <c r="I9" s="118">
        <f>MOD(ATAN2(I6,H6)*180/PI()+270,360)</f>
        <v>137.6340077021874</v>
      </c>
      <c r="K9" s="63">
        <f>MOD(ATAN2(K6,J6)*180/PI()+270,360)</f>
        <v>102.1629515454209</v>
      </c>
      <c r="M9" s="118">
        <f>MOD(ATAN2(M6,L6)*180/PI()+270,360)</f>
        <v>258.81820368197924</v>
      </c>
      <c r="O9" s="118">
        <f>MOD(ATAN2(O6,N6)*180/PI()+270,360)</f>
        <v>139.20644814372187</v>
      </c>
      <c r="Q9" s="63">
        <f>MOD(ATAN2(Q6,P6)*180/PI()+270,360)</f>
        <v>100.73889710090546</v>
      </c>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
      <c r="A10" s="250" t="s">
        <v>40</v>
      </c>
      <c r="B10" s="430" t="s">
        <v>372</v>
      </c>
      <c r="C10" s="430"/>
      <c r="D10" s="430" t="s">
        <v>372</v>
      </c>
      <c r="E10" s="430"/>
      <c r="F10" s="382"/>
      <c r="G10" s="382"/>
      <c r="H10" s="430" t="s">
        <v>372</v>
      </c>
      <c r="I10" s="430"/>
      <c r="J10" s="382"/>
      <c r="K10" s="382"/>
      <c r="L10" s="430" t="s">
        <v>372</v>
      </c>
      <c r="M10" s="430"/>
      <c r="N10" s="430" t="s">
        <v>372</v>
      </c>
      <c r="O10" s="430"/>
      <c r="P10" s="382"/>
      <c r="Q10" s="382"/>
      <c r="AE10" s="74"/>
      <c r="AF10" s="74"/>
      <c r="AO10" s="425"/>
      <c r="AP10" s="425"/>
      <c r="AS10" s="425"/>
      <c r="AT10" s="425"/>
    </row>
    <row r="11" spans="1:48" s="127" customFormat="1" x14ac:dyDescent="0.3">
      <c r="A11" s="120" t="s">
        <v>37</v>
      </c>
      <c r="B11" s="120"/>
      <c r="C11" s="120"/>
      <c r="D11" s="120"/>
      <c r="E11" s="120"/>
      <c r="F11" s="67"/>
      <c r="G11" s="67"/>
      <c r="J11" s="67"/>
      <c r="K11" s="67"/>
      <c r="P11" s="67"/>
      <c r="Q11" s="67"/>
    </row>
    <row r="12" spans="1:48" s="298" customFormat="1" x14ac:dyDescent="0.3">
      <c r="B12" s="298" t="s">
        <v>62</v>
      </c>
      <c r="C12" s="298" t="s">
        <v>63</v>
      </c>
      <c r="F12" s="69"/>
      <c r="G12" s="69"/>
      <c r="J12" s="69"/>
      <c r="K12" s="69"/>
      <c r="L12" s="299"/>
      <c r="M12" s="299"/>
      <c r="N12" s="299"/>
      <c r="O12" s="299"/>
      <c r="P12" s="69"/>
      <c r="Q12" s="69"/>
    </row>
    <row r="13" spans="1:48" x14ac:dyDescent="0.3">
      <c r="A13" s="118" t="s">
        <v>18</v>
      </c>
    </row>
    <row r="14" spans="1:48" x14ac:dyDescent="0.3">
      <c r="A14" s="118" t="s">
        <v>17</v>
      </c>
    </row>
    <row r="15" spans="1:48" x14ac:dyDescent="0.3">
      <c r="A15" s="118" t="s">
        <v>14</v>
      </c>
    </row>
    <row r="16" spans="1:48" x14ac:dyDescent="0.3">
      <c r="A16" s="118" t="s">
        <v>13</v>
      </c>
      <c r="C16" s="147">
        <v>1.0629999999999999</v>
      </c>
      <c r="E16" s="147">
        <v>5.9180000000000001</v>
      </c>
      <c r="G16" s="111">
        <f>5*15.0412*COS((17+38/60+51/3600)*PI()/180)</f>
        <v>71.666780530880629</v>
      </c>
      <c r="I16" s="147">
        <v>2.887</v>
      </c>
      <c r="K16" s="111">
        <f>5*15.0412*COS((6+25/60+8/3600)*PI()/180)</f>
        <v>74.734542372061654</v>
      </c>
      <c r="M16" s="147">
        <v>1.8759999999999999</v>
      </c>
      <c r="O16" s="147">
        <v>8.6</v>
      </c>
      <c r="Q16" s="111">
        <f>8*15.0412*COS((59+26/60+30/3600)*PI()/180)</f>
        <v>61.177413525781063</v>
      </c>
      <c r="R16" s="255"/>
      <c r="U16" s="63"/>
      <c r="V16" s="111"/>
      <c r="Y16" s="63"/>
      <c r="Z16" s="111"/>
      <c r="AC16" s="63"/>
      <c r="AD16" s="111"/>
      <c r="AG16" s="63"/>
      <c r="AH16" s="111"/>
      <c r="AM16" s="63"/>
      <c r="AN16" s="111"/>
      <c r="AQ16" s="63"/>
      <c r="AR16" s="111"/>
      <c r="AU16" s="63"/>
      <c r="AV16" s="111"/>
    </row>
    <row r="17" spans="1:48" x14ac:dyDescent="0.3">
      <c r="A17" s="118" t="s">
        <v>7</v>
      </c>
      <c r="C17" s="118">
        <v>37.020000000000003</v>
      </c>
      <c r="E17" s="118">
        <v>68.290000000000006</v>
      </c>
      <c r="G17" s="63">
        <v>-90</v>
      </c>
      <c r="I17" s="118">
        <v>297.19</v>
      </c>
      <c r="K17" s="63">
        <v>-90</v>
      </c>
      <c r="M17" s="118">
        <v>68.61</v>
      </c>
      <c r="O17" s="118">
        <v>309</v>
      </c>
      <c r="Q17" s="63">
        <v>-90</v>
      </c>
      <c r="R17" s="63"/>
      <c r="U17" s="63"/>
      <c r="V17" s="63"/>
      <c r="Y17" s="63"/>
      <c r="Z17" s="63"/>
      <c r="AB17" s="141"/>
      <c r="AC17" s="63"/>
      <c r="AD17" s="63"/>
      <c r="AF17" s="141"/>
      <c r="AG17" s="63"/>
      <c r="AH17" s="63"/>
      <c r="AM17" s="63"/>
      <c r="AN17" s="63"/>
      <c r="AQ17" s="63"/>
      <c r="AR17" s="63"/>
      <c r="AU17" s="63"/>
      <c r="AV17" s="63"/>
    </row>
    <row r="18" spans="1:48" x14ac:dyDescent="0.3">
      <c r="A18" s="118" t="s">
        <v>32</v>
      </c>
      <c r="B18" s="72">
        <f>-C16*SIN((C17)/180*PI())</f>
        <v>-0.64002566992569998</v>
      </c>
      <c r="C18" s="72">
        <f>C16*COS((C17)/180*PI())</f>
        <v>0.84872618778741515</v>
      </c>
      <c r="D18" s="72">
        <f>-E16*SIN((E17)/180*PI())</f>
        <v>-5.4982245683977533</v>
      </c>
      <c r="E18" s="72">
        <f>E16*COS((E17)/180*PI())</f>
        <v>2.1891209641011935</v>
      </c>
      <c r="F18" s="72">
        <f>-G16*SIN((G17)/180*PI())</f>
        <v>71.666780530880629</v>
      </c>
      <c r="G18" s="72">
        <f>G16*COS((G17)/180*PI())</f>
        <v>4.3901222717841786E-15</v>
      </c>
      <c r="H18" s="72">
        <f>-I16*SIN((I17)/180*PI())</f>
        <v>2.5679753515106207</v>
      </c>
      <c r="I18" s="72">
        <f>I16*COS((I17)/180*PI())</f>
        <v>1.3191935392632519</v>
      </c>
      <c r="J18" s="72">
        <f>-K16*SIN((K17)/180*PI())</f>
        <v>74.734542372061654</v>
      </c>
      <c r="K18" s="72">
        <f>K16*COS((K17)/180*PI())</f>
        <v>4.5780454557717067E-15</v>
      </c>
      <c r="L18" s="72">
        <f>-M16*SIN((M17)/180*PI())</f>
        <v>-1.7467801532857972</v>
      </c>
      <c r="M18" s="72">
        <f>M16*COS((M17)/180*PI())</f>
        <v>0.68420398719011188</v>
      </c>
      <c r="N18" s="72">
        <f>-O16*SIN((O17)/180*PI())</f>
        <v>6.6834552685299533</v>
      </c>
      <c r="O18" s="72">
        <f>O16*COS((O17)/180*PI())</f>
        <v>5.4121553630285968</v>
      </c>
      <c r="P18" s="72">
        <f>-Q16*SIN((Q17)/180*PI())</f>
        <v>61.177413525781063</v>
      </c>
      <c r="Q18" s="72">
        <f>Q16*COS((Q17)/180*PI())</f>
        <v>3.7475706828208192E-15</v>
      </c>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
      <c r="A19" s="251" t="s">
        <v>40</v>
      </c>
      <c r="B19" s="388"/>
      <c r="C19" s="388"/>
      <c r="D19" s="248"/>
      <c r="E19" s="248"/>
      <c r="F19" s="65"/>
      <c r="G19" s="65"/>
      <c r="H19" s="248"/>
      <c r="I19" s="248"/>
      <c r="J19" s="65"/>
      <c r="K19" s="65"/>
      <c r="L19" s="248"/>
      <c r="M19" s="248"/>
      <c r="N19" s="248"/>
      <c r="O19" s="248"/>
      <c r="P19" s="65"/>
      <c r="Q19" s="65"/>
    </row>
    <row r="20" spans="1:48" s="127" customFormat="1" x14ac:dyDescent="0.3">
      <c r="A20" s="252" t="s">
        <v>38</v>
      </c>
      <c r="F20" s="67"/>
      <c r="G20" s="67"/>
      <c r="J20" s="67"/>
      <c r="K20" s="67"/>
      <c r="P20" s="67"/>
      <c r="Q20" s="67"/>
    </row>
    <row r="21" spans="1:48" x14ac:dyDescent="0.3">
      <c r="A21" s="139" t="s">
        <v>65</v>
      </c>
      <c r="C21" s="118">
        <f>C16/C8</f>
        <v>0.11739658592702233</v>
      </c>
      <c r="E21" s="118">
        <f>E16/E8</f>
        <v>0.10446202832159708</v>
      </c>
      <c r="G21" s="118">
        <f>G16/G8</f>
        <v>0.11345121077606087</v>
      </c>
      <c r="I21" s="118">
        <f>I16/I8</f>
        <v>0.13557109800658912</v>
      </c>
      <c r="K21" s="118">
        <f>K16/K8</f>
        <v>0.11577959824850036</v>
      </c>
      <c r="M21" s="118">
        <f>M16/M8</f>
        <v>0.12086343655382983</v>
      </c>
      <c r="O21" s="118">
        <f>O16/O8</f>
        <v>0.11527398335917446</v>
      </c>
      <c r="Q21" s="118">
        <f>Q16/Q8</f>
        <v>0.115145563948341</v>
      </c>
      <c r="AM21" s="63"/>
      <c r="AQ21" s="63"/>
    </row>
    <row r="22" spans="1:48" x14ac:dyDescent="0.3">
      <c r="A22" s="118" t="s">
        <v>34</v>
      </c>
      <c r="C22" s="129"/>
      <c r="E22" s="129"/>
      <c r="I22" s="129"/>
      <c r="M22" s="129"/>
      <c r="O22" s="129"/>
      <c r="T22" s="63"/>
      <c r="V22" s="63"/>
      <c r="X22" s="129"/>
      <c r="Z22" s="63"/>
      <c r="AB22" s="129"/>
      <c r="AD22" s="63"/>
      <c r="AF22" s="129"/>
      <c r="AH22" s="63"/>
      <c r="AJ22" s="129"/>
      <c r="AL22" s="129"/>
      <c r="AM22" s="63"/>
      <c r="AN22" s="63"/>
      <c r="AP22" s="129"/>
      <c r="AQ22" s="63"/>
      <c r="AR22" s="63"/>
      <c r="AT22" s="129"/>
      <c r="AV22" s="63"/>
    </row>
    <row r="23" spans="1:48" x14ac:dyDescent="0.3">
      <c r="A23" s="118" t="s">
        <v>35</v>
      </c>
      <c r="C23" s="118">
        <f>C21-$C22</f>
        <v>0.11739658592702233</v>
      </c>
      <c r="E23" s="118">
        <f>E21-$C22</f>
        <v>0.10446202832159708</v>
      </c>
      <c r="G23" s="118">
        <f>G21-$C22</f>
        <v>0.11345121077606087</v>
      </c>
      <c r="I23" s="118">
        <f>I21-$C22</f>
        <v>0.13557109800658912</v>
      </c>
      <c r="K23" s="118">
        <f>K21-$C22</f>
        <v>0.11577959824850036</v>
      </c>
      <c r="M23" s="118">
        <f>M21-$C22</f>
        <v>0.12086343655382983</v>
      </c>
      <c r="O23" s="118">
        <f>O21-$C22</f>
        <v>0.11527398335917446</v>
      </c>
      <c r="Q23" s="118">
        <f>Q21-$C22</f>
        <v>0.115145563948341</v>
      </c>
      <c r="AM23" s="63"/>
      <c r="AQ23" s="63"/>
    </row>
    <row r="24" spans="1:48" x14ac:dyDescent="0.3">
      <c r="A24" s="139" t="s">
        <v>64</v>
      </c>
      <c r="C24" s="74">
        <f>MOD(C9-C17,360)</f>
        <v>192.85845827062613</v>
      </c>
      <c r="E24" s="74">
        <f>MOD(E9-E17,360)</f>
        <v>188.92680299192051</v>
      </c>
      <c r="G24" s="74">
        <f>MOD(G9-G17,360)</f>
        <v>191.04311146194743</v>
      </c>
      <c r="I24" s="74">
        <f>MOD(I9-I17,360)</f>
        <v>200.44400770218741</v>
      </c>
      <c r="K24" s="74">
        <f>MOD(K9-K17,360)</f>
        <v>192.1629515454209</v>
      </c>
      <c r="M24" s="74">
        <f>MOD(M9-M17,360)</f>
        <v>190.20820368197923</v>
      </c>
      <c r="O24" s="74">
        <f>MOD(O9-O17,360)</f>
        <v>190.20644814372187</v>
      </c>
      <c r="Q24" s="74">
        <f>MOD(Q9-Q17,360)</f>
        <v>190.73889710090546</v>
      </c>
      <c r="R24" s="74"/>
      <c r="T24" s="74"/>
      <c r="V24" s="74"/>
      <c r="X24" s="74"/>
      <c r="Z24" s="74"/>
      <c r="AB24" s="74"/>
      <c r="AD24" s="74"/>
      <c r="AF24" s="74"/>
      <c r="AH24" s="74"/>
      <c r="AJ24" s="74"/>
      <c r="AL24" s="74"/>
      <c r="AM24" s="63"/>
      <c r="AN24" s="74"/>
      <c r="AP24" s="74"/>
      <c r="AQ24" s="63"/>
      <c r="AR24" s="74"/>
      <c r="AT24" s="74"/>
      <c r="AV24" s="74"/>
    </row>
    <row r="25" spans="1:48" x14ac:dyDescent="0.3">
      <c r="A25" s="118" t="s">
        <v>36</v>
      </c>
      <c r="T25" s="63"/>
      <c r="V25" s="63"/>
      <c r="Z25" s="63"/>
      <c r="AD25" s="63"/>
      <c r="AH25" s="63"/>
      <c r="AM25" s="63"/>
      <c r="AN25" s="63"/>
      <c r="AQ25" s="63"/>
      <c r="AR25" s="63"/>
      <c r="AV25" s="63"/>
    </row>
    <row r="26" spans="1:48" x14ac:dyDescent="0.3">
      <c r="A26" s="118" t="s">
        <v>35</v>
      </c>
      <c r="C26" s="118">
        <f>C24-$C25</f>
        <v>192.85845827062613</v>
      </c>
      <c r="E26" s="118">
        <f>E24-$C25</f>
        <v>188.92680299192051</v>
      </c>
      <c r="G26" s="118">
        <f>G24-$C25</f>
        <v>191.04311146194743</v>
      </c>
      <c r="I26" s="118">
        <f>I24-$C25</f>
        <v>200.44400770218741</v>
      </c>
      <c r="K26" s="118">
        <f>K24-$C25</f>
        <v>192.1629515454209</v>
      </c>
      <c r="M26" s="118">
        <f>M24-$C25</f>
        <v>190.20820368197923</v>
      </c>
      <c r="O26" s="118">
        <f>O24-$C25</f>
        <v>190.20644814372187</v>
      </c>
      <c r="Q26" s="118">
        <f>Q24-$C25</f>
        <v>190.73889710090546</v>
      </c>
      <c r="V26" s="63"/>
      <c r="Z26" s="63"/>
      <c r="AD26" s="63"/>
      <c r="AH26" s="63"/>
      <c r="AM26" s="63"/>
      <c r="AN26" s="63"/>
      <c r="AQ26" s="63"/>
      <c r="AR26" s="63"/>
      <c r="AV26" s="63"/>
    </row>
    <row r="27" spans="1:48" x14ac:dyDescent="0.3">
      <c r="A27" s="118" t="s">
        <v>67</v>
      </c>
      <c r="C27" s="118">
        <f>SQRT(C16)</f>
        <v>1.0310189135025603</v>
      </c>
      <c r="E27" s="118">
        <f>SQRT(E16)</f>
        <v>2.4326939799325356</v>
      </c>
      <c r="G27" s="63">
        <f>SQRT(G16)</f>
        <v>8.4656234578960952</v>
      </c>
      <c r="I27" s="118">
        <f>SQRT(I16)</f>
        <v>1.699117417955569</v>
      </c>
      <c r="K27" s="63">
        <f>SQRT(K16)</f>
        <v>8.6449142489709896</v>
      </c>
      <c r="M27" s="118">
        <f>SQRT(M16)</f>
        <v>1.3696714934611145</v>
      </c>
      <c r="O27" s="118">
        <f>SQRT(O16)</f>
        <v>2.9325756597230361</v>
      </c>
      <c r="Q27" s="63">
        <f>SQRT(Q16)</f>
        <v>7.8215991667804774</v>
      </c>
      <c r="T27" s="63"/>
      <c r="V27" s="63"/>
      <c r="Z27" s="63"/>
      <c r="AD27" s="63"/>
      <c r="AH27" s="63"/>
      <c r="AM27" s="63"/>
      <c r="AN27" s="63"/>
      <c r="AQ27" s="63"/>
      <c r="AR27" s="63"/>
      <c r="AV27" s="63"/>
    </row>
    <row r="28" spans="1:48" x14ac:dyDescent="0.3">
      <c r="A28" s="129" t="s">
        <v>68</v>
      </c>
      <c r="C28" s="118">
        <f>C27*C21</f>
        <v>0.12103810047138852</v>
      </c>
      <c r="E28" s="118">
        <f>E27*E21</f>
        <v>0.25412414742949124</v>
      </c>
      <c r="G28" s="118">
        <f>G27*G21</f>
        <v>0.96043523127253516</v>
      </c>
      <c r="I28" s="118">
        <f>I27*I21</f>
        <v>0.2303512139943571</v>
      </c>
      <c r="K28" s="118">
        <f>K27*K21</f>
        <v>1.0009046986385974</v>
      </c>
      <c r="M28" s="118">
        <f>M27*M21</f>
        <v>0.16554320364952677</v>
      </c>
      <c r="O28" s="118">
        <f>O27*O21</f>
        <v>0.33804967779843337</v>
      </c>
      <c r="Q28" s="118">
        <f>Q27*Q21</f>
        <v>0.90062244703681216</v>
      </c>
      <c r="AM28" s="63"/>
      <c r="AQ28" s="63"/>
    </row>
    <row r="29" spans="1:48" x14ac:dyDescent="0.3">
      <c r="A29" s="139" t="s">
        <v>69</v>
      </c>
      <c r="B29" s="118" t="s">
        <v>357</v>
      </c>
      <c r="C29" s="139">
        <f>SUM(B28:Q28)/SUM(B27:Q27)</f>
        <v>0.11544739295584375</v>
      </c>
      <c r="D29" s="118" t="s">
        <v>357</v>
      </c>
      <c r="E29" s="139"/>
      <c r="H29" s="118" t="s">
        <v>357</v>
      </c>
      <c r="I29" s="139"/>
      <c r="L29" s="118" t="s">
        <v>357</v>
      </c>
      <c r="M29" s="139"/>
      <c r="N29" s="118" t="s">
        <v>357</v>
      </c>
      <c r="O29" s="139"/>
      <c r="R29" s="139"/>
      <c r="T29" s="63"/>
      <c r="V29" s="63"/>
      <c r="X29" s="139"/>
      <c r="Z29" s="63"/>
      <c r="AB29" s="139"/>
      <c r="AD29" s="63"/>
      <c r="AF29" s="139"/>
      <c r="AH29" s="63"/>
      <c r="AJ29" s="139"/>
      <c r="AL29" s="139"/>
      <c r="AM29" s="63"/>
      <c r="AN29" s="63"/>
      <c r="AP29" s="139"/>
      <c r="AQ29" s="63"/>
      <c r="AR29" s="63"/>
      <c r="AT29" s="139"/>
      <c r="AV29" s="63"/>
    </row>
    <row r="30" spans="1:48" x14ac:dyDescent="0.3">
      <c r="A30" s="118" t="s">
        <v>72</v>
      </c>
      <c r="B30" s="118">
        <f>SQRT(SUMSQ(C30:G30)/SUM(C27:G27))</f>
        <v>3.8132730815711793E-3</v>
      </c>
      <c r="C30" s="139">
        <f>C21-$C$29</f>
        <v>1.9491929711785844E-3</v>
      </c>
      <c r="D30" s="118">
        <f>SQRT(SUMSQ(E30:I30)/SUM(E27:I27))</f>
        <v>6.7084098483421424E-3</v>
      </c>
      <c r="E30" s="139">
        <f>E21-$C$29</f>
        <v>-1.0985364634246667E-2</v>
      </c>
      <c r="G30" s="139">
        <f>G21-$C29</f>
        <v>-1.9961821797828821E-3</v>
      </c>
      <c r="H30" s="118">
        <f>SQRT(SUMSQ(I30:M30)/SUM(I27:M27))</f>
        <v>6.1067902328435742E-3</v>
      </c>
      <c r="I30" s="139">
        <f>I21-$C$29</f>
        <v>2.0123705050745372E-2</v>
      </c>
      <c r="K30" s="139">
        <f>K21-$C29</f>
        <v>3.3220529265660936E-4</v>
      </c>
      <c r="L30" s="118">
        <f>SQRT(SUMSQ(M30:Q30)/SUM(M27:Q27))</f>
        <v>1.5589785505500651E-3</v>
      </c>
      <c r="M30" s="139">
        <f>M21-$C$29</f>
        <v>5.4160435979860866E-3</v>
      </c>
      <c r="N30" s="118">
        <f>SQRT(SUMSQ(O30:S30)/SUM(O27:S27))</f>
        <v>1.0614803113691077E-4</v>
      </c>
      <c r="O30" s="139">
        <f>O21-$C$29</f>
        <v>-1.734095966692828E-4</v>
      </c>
      <c r="Q30" s="139">
        <f>Q21-$C29</f>
        <v>-3.0182900750275188E-4</v>
      </c>
      <c r="R30" s="139"/>
      <c r="T30" s="139"/>
      <c r="V30" s="75"/>
      <c r="X30" s="139"/>
      <c r="Z30" s="75"/>
      <c r="AB30" s="139"/>
      <c r="AD30" s="75"/>
      <c r="AF30" s="139"/>
      <c r="AH30" s="75"/>
      <c r="AJ30" s="139"/>
      <c r="AL30" s="139"/>
      <c r="AM30" s="63"/>
      <c r="AN30" s="75"/>
      <c r="AP30" s="139"/>
      <c r="AQ30" s="63"/>
      <c r="AR30" s="75"/>
      <c r="AT30" s="139"/>
      <c r="AV30" s="75"/>
    </row>
    <row r="31" spans="1:48" x14ac:dyDescent="0.3">
      <c r="A31" s="129" t="s">
        <v>119</v>
      </c>
      <c r="C31" s="118">
        <f>C27*C24</f>
        <v>198.84071810595981</v>
      </c>
      <c r="E31" s="118">
        <f>E27*E24</f>
        <v>459.60109628634518</v>
      </c>
      <c r="G31" s="63">
        <f>G27*G24</f>
        <v>1617.2990458617205</v>
      </c>
      <c r="I31" s="118">
        <f>I27*I24</f>
        <v>340.57790481160686</v>
      </c>
      <c r="K31" s="63">
        <f>K27*K24</f>
        <v>1661.2322379393308</v>
      </c>
      <c r="M31" s="118">
        <f>M27*M24</f>
        <v>260.52275440565234</v>
      </c>
      <c r="O31" s="118">
        <f>O27*O24</f>
        <v>557.79480014865067</v>
      </c>
      <c r="Q31" s="63">
        <f>Q27*Q24</f>
        <v>1491.8831986370694</v>
      </c>
      <c r="T31" s="63"/>
      <c r="V31" s="63"/>
      <c r="Z31" s="63"/>
      <c r="AD31" s="63"/>
      <c r="AH31" s="63"/>
      <c r="AM31" s="63"/>
      <c r="AN31" s="63"/>
      <c r="AQ31" s="63"/>
      <c r="AR31" s="63"/>
      <c r="AV31" s="63"/>
    </row>
    <row r="32" spans="1:48" x14ac:dyDescent="0.3">
      <c r="A32" s="261" t="s">
        <v>120</v>
      </c>
      <c r="C32" s="139">
        <f>MOD(SUM(B31:Q31)/SUM(B27:Q27),360)</f>
        <v>191.51992052088909</v>
      </c>
      <c r="E32" s="139"/>
      <c r="I32" s="139"/>
      <c r="M32" s="139"/>
      <c r="O32" s="139"/>
      <c r="R32" s="139"/>
      <c r="T32" s="63"/>
      <c r="V32" s="139"/>
      <c r="Z32" s="139"/>
      <c r="AB32" s="139"/>
      <c r="AD32" s="139"/>
      <c r="AF32" s="139"/>
      <c r="AH32" s="63"/>
      <c r="AJ32" s="139"/>
      <c r="AL32" s="139"/>
      <c r="AM32" s="63"/>
      <c r="AN32" s="63"/>
      <c r="AP32" s="139"/>
      <c r="AQ32" s="63"/>
      <c r="AR32" s="63"/>
      <c r="AT32" s="139"/>
      <c r="AV32" s="63"/>
    </row>
    <row r="33" spans="1:48" x14ac:dyDescent="0.3">
      <c r="A33" s="118" t="s">
        <v>121</v>
      </c>
      <c r="B33" s="118">
        <f>SQRT(SUMSQ(C33:G33)/SUM(C27:G27))</f>
        <v>1.1643788828418751</v>
      </c>
      <c r="C33" s="139">
        <f>C24-$C$32</f>
        <v>1.3385377497370428</v>
      </c>
      <c r="D33" s="118">
        <f>SQRT(SUMSQ(E33:I33)/SUM(E27:I27))</f>
        <v>2.7258476214400349</v>
      </c>
      <c r="E33" s="139">
        <f>E24-$C$32</f>
        <v>-2.5931175289685768</v>
      </c>
      <c r="G33" s="139">
        <f>G24-$C$32</f>
        <v>-0.47680905894165448</v>
      </c>
      <c r="H33" s="118">
        <f>SQRT(SUMSQ(I33:M33)/SUM(I27:M27))</f>
        <v>2.6478468892904683</v>
      </c>
      <c r="I33" s="139">
        <f>I24-$C$32</f>
        <v>8.9240871812983187</v>
      </c>
      <c r="K33" s="139">
        <f>K24-$C$32</f>
        <v>0.64303102453180827</v>
      </c>
      <c r="L33" s="118">
        <f>SQRT(SUMSQ(M33:Q33)/SUM(M27:Q27))</f>
        <v>0.59366825355350228</v>
      </c>
      <c r="M33" s="139">
        <f>M24-$C$32</f>
        <v>-1.3117168389098595</v>
      </c>
      <c r="N33" s="118">
        <f>SQRT(SUMSQ(O33:S33)/SUM(O27:S27))</f>
        <v>0.46598739663147043</v>
      </c>
      <c r="O33" s="139">
        <f>O24-$C$32</f>
        <v>-1.3134723771672157</v>
      </c>
      <c r="Q33" s="139">
        <f>Q24-$C$32</f>
        <v>-0.7810234199836259</v>
      </c>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
      <c r="A34" s="251" t="s">
        <v>40</v>
      </c>
      <c r="B34" s="384"/>
      <c r="C34" s="384"/>
      <c r="D34" s="384"/>
      <c r="E34" s="384"/>
      <c r="F34" s="65"/>
      <c r="G34" s="65"/>
      <c r="H34" s="384"/>
      <c r="I34" s="384"/>
      <c r="J34" s="65"/>
      <c r="K34" s="65"/>
      <c r="L34" s="384"/>
      <c r="M34" s="384"/>
      <c r="N34" s="384"/>
      <c r="O34" s="384"/>
      <c r="P34" s="65"/>
      <c r="Q34" s="65"/>
    </row>
    <row r="35" spans="1:48" s="127" customFormat="1" x14ac:dyDescent="0.3">
      <c r="A35" s="120" t="s">
        <v>54</v>
      </c>
      <c r="B35" s="120"/>
      <c r="C35" s="120"/>
      <c r="D35" s="120"/>
      <c r="E35" s="120"/>
      <c r="F35" s="67"/>
      <c r="G35" s="67"/>
      <c r="H35" s="120"/>
      <c r="I35" s="120"/>
      <c r="J35" s="67"/>
      <c r="K35" s="67"/>
      <c r="L35" s="120"/>
      <c r="M35" s="120"/>
      <c r="N35" s="120"/>
      <c r="O35" s="120"/>
      <c r="P35" s="67"/>
      <c r="Q35" s="67"/>
    </row>
    <row r="36" spans="1:48" x14ac:dyDescent="0.3">
      <c r="A36" s="139" t="s">
        <v>42</v>
      </c>
      <c r="C36" s="147">
        <f>C8*$C29</f>
        <v>1.0453504907574496</v>
      </c>
      <c r="E36" s="147">
        <f>E8*$C29</f>
        <v>6.5403446830395406</v>
      </c>
      <c r="F36" s="63">
        <f>C36*B30/C29</f>
        <v>3.4528340442795853E-2</v>
      </c>
      <c r="G36" s="63" t="s">
        <v>358</v>
      </c>
      <c r="I36" s="147">
        <f>I8*$C29</f>
        <v>2.4584637018084914</v>
      </c>
      <c r="J36" s="63" t="e">
        <f>G36*F30/G29</f>
        <v>#VALUE!</v>
      </c>
      <c r="K36" s="63" t="s">
        <v>358</v>
      </c>
      <c r="M36" s="147">
        <f>M8*$C29</f>
        <v>1.7919340650942301</v>
      </c>
      <c r="O36" s="147">
        <f>O8*$C29</f>
        <v>8.6129371995995765</v>
      </c>
      <c r="P36" s="63" t="e">
        <f>M36*L30/M29</f>
        <v>#DIV/0!</v>
      </c>
      <c r="Q36" s="63" t="s">
        <v>358</v>
      </c>
      <c r="S36" s="63"/>
      <c r="T36" s="166"/>
      <c r="X36" s="147"/>
      <c r="AB36" s="147"/>
      <c r="AF36" s="147"/>
      <c r="AJ36" s="147"/>
      <c r="AL36" s="147"/>
      <c r="AP36" s="147"/>
      <c r="AT36" s="147"/>
    </row>
    <row r="37" spans="1:48" x14ac:dyDescent="0.3">
      <c r="A37" s="118" t="s">
        <v>50</v>
      </c>
      <c r="C37" s="141">
        <f>C36-C16</f>
        <v>-1.7649509242550376E-2</v>
      </c>
      <c r="E37" s="141">
        <f>E36-E16</f>
        <v>0.62234468303954049</v>
      </c>
      <c r="I37" s="141">
        <f>I36-I16</f>
        <v>-0.42853629819150862</v>
      </c>
      <c r="M37" s="141">
        <f>M36-M16</f>
        <v>-8.4065934905769746E-2</v>
      </c>
      <c r="O37" s="141">
        <f>O36-O16</f>
        <v>1.2937199599576843E-2</v>
      </c>
      <c r="S37" s="63"/>
      <c r="T37" s="141"/>
      <c r="X37" s="141"/>
      <c r="AB37" s="141"/>
      <c r="AF37" s="141"/>
      <c r="AJ37" s="141"/>
      <c r="AL37" s="141"/>
      <c r="AP37" s="141"/>
      <c r="AT37" s="141"/>
    </row>
    <row r="38" spans="1:48" x14ac:dyDescent="0.3">
      <c r="A38" s="118" t="s">
        <v>51</v>
      </c>
      <c r="C38" s="142">
        <f>C37/C16</f>
        <v>-1.6603489409736948E-2</v>
      </c>
      <c r="E38" s="142">
        <f>E37/E16</f>
        <v>0.10516131852645158</v>
      </c>
      <c r="I38" s="142">
        <f>I37/I16</f>
        <v>-0.14843654249792471</v>
      </c>
      <c r="M38" s="142">
        <f>M37/M16</f>
        <v>-4.4811265941241872E-2</v>
      </c>
      <c r="O38" s="142">
        <f>O37/O16</f>
        <v>1.5043255348345167E-3</v>
      </c>
      <c r="S38" s="63"/>
      <c r="T38" s="142"/>
      <c r="X38" s="142"/>
      <c r="AB38" s="142"/>
      <c r="AF38" s="142"/>
      <c r="AJ38" s="142"/>
      <c r="AL38" s="142"/>
      <c r="AP38" s="142"/>
      <c r="AT38" s="142"/>
    </row>
    <row r="39" spans="1:48" x14ac:dyDescent="0.3">
      <c r="A39" s="74" t="s">
        <v>53</v>
      </c>
      <c r="B39" s="118">
        <f>AVERAGE(B37:C37)</f>
        <v>-1.7649509242550376E-2</v>
      </c>
      <c r="C39" s="142">
        <f>AVERAGE(C38:C38)</f>
        <v>-1.6603489409736948E-2</v>
      </c>
      <c r="D39" s="118">
        <f>AVERAGE(D37:E37)</f>
        <v>0.62234468303954049</v>
      </c>
      <c r="E39" s="142">
        <f>AVERAGE(E38:E38)</f>
        <v>0.10516131852645158</v>
      </c>
      <c r="H39" s="118">
        <f>AVERAGE(H37:I37)</f>
        <v>-0.42853629819150862</v>
      </c>
      <c r="I39" s="142">
        <f>AVERAGE(I38:I38)</f>
        <v>-0.14843654249792471</v>
      </c>
      <c r="L39" s="118">
        <f>AVERAGE(L37:M37)</f>
        <v>-8.4065934905769746E-2</v>
      </c>
      <c r="M39" s="142">
        <f>AVERAGE(M38:M38)</f>
        <v>-4.4811265941241872E-2</v>
      </c>
      <c r="N39" s="118">
        <f>AVERAGE(N37:O37)</f>
        <v>1.2937199599576843E-2</v>
      </c>
      <c r="O39" s="142">
        <f>AVERAGE(O38:O38)</f>
        <v>1.5043255348345167E-3</v>
      </c>
      <c r="S39" s="63"/>
      <c r="T39" s="142"/>
      <c r="X39" s="142"/>
      <c r="AB39" s="142"/>
      <c r="AF39" s="142"/>
      <c r="AJ39" s="142"/>
      <c r="AL39" s="142"/>
      <c r="AP39" s="142"/>
      <c r="AT39" s="142"/>
    </row>
    <row r="40" spans="1:48" x14ac:dyDescent="0.3">
      <c r="A40" s="74" t="s">
        <v>52</v>
      </c>
      <c r="B40" s="118" t="e">
        <f>STDEV(B37:C37)</f>
        <v>#DIV/0!</v>
      </c>
      <c r="C40" s="142" t="e">
        <f>STDEV(C38:C38)</f>
        <v>#DIV/0!</v>
      </c>
      <c r="D40" s="118" t="e">
        <f>STDEV(D37:E37)</f>
        <v>#DIV/0!</v>
      </c>
      <c r="E40" s="142" t="e">
        <f>STDEV(E38:E38)</f>
        <v>#DIV/0!</v>
      </c>
      <c r="H40" s="118" t="e">
        <f>STDEV(H37:I37)</f>
        <v>#DIV/0!</v>
      </c>
      <c r="I40" s="142" t="e">
        <f>STDEV(I38:I38)</f>
        <v>#DIV/0!</v>
      </c>
      <c r="L40" s="118" t="e">
        <f>STDEV(L37:M37)</f>
        <v>#DIV/0!</v>
      </c>
      <c r="M40" s="142" t="e">
        <f>STDEV(M38:M38)</f>
        <v>#DIV/0!</v>
      </c>
      <c r="N40" s="118" t="e">
        <f>STDEV(N37:O37)</f>
        <v>#DIV/0!</v>
      </c>
      <c r="O40" s="142" t="e">
        <f>STDEV(O38:O38)</f>
        <v>#DIV/0!</v>
      </c>
      <c r="S40" s="63"/>
      <c r="T40" s="142"/>
      <c r="X40" s="142"/>
      <c r="AB40" s="142"/>
      <c r="AF40" s="142"/>
      <c r="AJ40" s="142"/>
      <c r="AL40" s="142"/>
      <c r="AP40" s="142"/>
      <c r="AT40" s="142"/>
    </row>
    <row r="41" spans="1:48" x14ac:dyDescent="0.3">
      <c r="C41" s="142"/>
      <c r="E41" s="142"/>
      <c r="I41" s="142"/>
      <c r="M41" s="142"/>
      <c r="O41" s="142"/>
      <c r="S41" s="63"/>
      <c r="T41" s="142"/>
      <c r="X41" s="142"/>
      <c r="AB41" s="142"/>
      <c r="AF41" s="142"/>
      <c r="AJ41" s="142"/>
      <c r="AL41" s="142"/>
      <c r="AP41" s="142"/>
      <c r="AT41" s="142"/>
    </row>
    <row r="42" spans="1:48" x14ac:dyDescent="0.3">
      <c r="A42" s="139" t="s">
        <v>43</v>
      </c>
      <c r="C42" s="141">
        <f>MOD(C9-$C32,360)</f>
        <v>38.358537749737053</v>
      </c>
      <c r="E42" s="141">
        <f>MOD(E9-$C32,360)</f>
        <v>65.696882471031444</v>
      </c>
      <c r="F42" s="63">
        <f>B33</f>
        <v>1.1643788828418751</v>
      </c>
      <c r="G42" s="141" t="s">
        <v>358</v>
      </c>
      <c r="I42" s="141">
        <f>MOD(I9-$C32,360)</f>
        <v>306.11408718129832</v>
      </c>
      <c r="J42" s="63">
        <f>F33</f>
        <v>0</v>
      </c>
      <c r="K42" s="141" t="s">
        <v>358</v>
      </c>
      <c r="M42" s="147">
        <f>MOD(M9-$C32,360)</f>
        <v>67.298283161090154</v>
      </c>
      <c r="O42" s="141">
        <f>MOD(O9-$C32,360)</f>
        <v>307.68652762283278</v>
      </c>
      <c r="P42" s="63">
        <f>L33</f>
        <v>0.59366825355350228</v>
      </c>
      <c r="Q42" s="141" t="s">
        <v>358</v>
      </c>
      <c r="S42" s="63"/>
      <c r="T42" s="167"/>
      <c r="X42" s="141"/>
      <c r="AB42" s="141"/>
      <c r="AF42" s="141"/>
      <c r="AJ42" s="141"/>
      <c r="AL42" s="141"/>
      <c r="AP42" s="141"/>
      <c r="AT42" s="141"/>
    </row>
    <row r="43" spans="1:48" x14ac:dyDescent="0.3">
      <c r="A43" s="118" t="s">
        <v>55</v>
      </c>
      <c r="C43" s="141">
        <f>C42-C17</f>
        <v>1.3385377497370499</v>
      </c>
      <c r="E43" s="141">
        <f>E42-E17</f>
        <v>-2.5931175289685626</v>
      </c>
      <c r="G43" s="141"/>
      <c r="I43" s="141">
        <f>I42-I17</f>
        <v>8.9240871812983187</v>
      </c>
      <c r="K43" s="141"/>
      <c r="M43" s="141">
        <f>M42-M17</f>
        <v>-1.3117168389098453</v>
      </c>
      <c r="O43" s="141">
        <f>O42-O17</f>
        <v>-1.3134723771672157</v>
      </c>
      <c r="Q43" s="141"/>
      <c r="S43" s="63"/>
      <c r="T43" s="141"/>
      <c r="X43" s="141"/>
      <c r="AB43" s="141"/>
      <c r="AF43" s="141"/>
      <c r="AJ43" s="141"/>
      <c r="AL43" s="141"/>
      <c r="AP43" s="141"/>
      <c r="AT43" s="141"/>
    </row>
    <row r="44" spans="1:48" x14ac:dyDescent="0.3">
      <c r="A44" s="118" t="s">
        <v>56</v>
      </c>
      <c r="B44" s="118">
        <f>AVERAGE(B43:C43)</f>
        <v>1.3385377497370499</v>
      </c>
      <c r="C44" s="141"/>
      <c r="D44" s="118">
        <f>AVERAGE(D43:E43)</f>
        <v>-2.5931175289685626</v>
      </c>
      <c r="E44" s="141"/>
      <c r="G44" s="101"/>
      <c r="H44" s="118">
        <f>AVERAGE(H43:I43)</f>
        <v>8.9240871812983187</v>
      </c>
      <c r="I44" s="141"/>
      <c r="K44" s="101"/>
      <c r="L44" s="118">
        <f>AVERAGE(L43:M43)</f>
        <v>-1.3117168389098453</v>
      </c>
      <c r="M44" s="141"/>
      <c r="N44" s="118">
        <f>AVERAGE(N43:O43)</f>
        <v>-1.3134723771672157</v>
      </c>
      <c r="O44" s="141"/>
      <c r="Q44" s="101"/>
      <c r="S44" s="63"/>
      <c r="T44" s="101"/>
      <c r="X44" s="141"/>
      <c r="AB44" s="141"/>
      <c r="AF44" s="141"/>
      <c r="AJ44" s="141"/>
      <c r="AL44" s="141"/>
      <c r="AP44" s="141"/>
      <c r="AT44" s="141"/>
    </row>
    <row r="45" spans="1:48" x14ac:dyDescent="0.3">
      <c r="A45" s="118" t="s">
        <v>57</v>
      </c>
      <c r="B45" s="118" t="e">
        <f>STDEV(B43:C43)</f>
        <v>#DIV/0!</v>
      </c>
      <c r="C45" s="141"/>
      <c r="D45" s="118" t="e">
        <f>STDEV(D43:E43)</f>
        <v>#DIV/0!</v>
      </c>
      <c r="E45" s="141"/>
      <c r="H45" s="118" t="e">
        <f>STDEV(H43:I43)</f>
        <v>#DIV/0!</v>
      </c>
      <c r="I45" s="141"/>
      <c r="L45" s="118" t="e">
        <f>STDEV(L43:M43)</f>
        <v>#DIV/0!</v>
      </c>
      <c r="M45" s="141"/>
      <c r="N45" s="118" t="e">
        <f>STDEV(N43:O43)</f>
        <v>#DIV/0!</v>
      </c>
      <c r="O45" s="141"/>
      <c r="S45" s="63"/>
      <c r="T45" s="63"/>
      <c r="X45" s="141"/>
      <c r="AB45" s="141"/>
      <c r="AF45" s="141"/>
      <c r="AJ45" s="141"/>
      <c r="AL45" s="141"/>
      <c r="AP45" s="141"/>
      <c r="AT45" s="141"/>
    </row>
    <row r="46" spans="1:48" x14ac:dyDescent="0.3">
      <c r="C46" s="141"/>
      <c r="E46" s="141"/>
      <c r="I46" s="141"/>
      <c r="M46" s="141"/>
      <c r="O46" s="141"/>
      <c r="S46" s="63"/>
      <c r="T46" s="63"/>
      <c r="X46" s="141"/>
      <c r="AB46" s="141"/>
      <c r="AF46" s="141"/>
      <c r="AJ46" s="141"/>
      <c r="AL46" s="141"/>
      <c r="AP46" s="141"/>
      <c r="AT46" s="141"/>
    </row>
    <row r="47" spans="1:48" x14ac:dyDescent="0.3">
      <c r="A47" s="118" t="s">
        <v>44</v>
      </c>
      <c r="B47" s="72">
        <f>-C36*SIN((C42)/180*PI())</f>
        <v>-0.6487241257738261</v>
      </c>
      <c r="C47" s="72">
        <f>C36*COS((C42)/180*PI())</f>
        <v>0.81970400582516711</v>
      </c>
      <c r="D47" s="72">
        <f>-E36*SIN((E42)/180*PI())</f>
        <v>-5.9607451209788058</v>
      </c>
      <c r="E47" s="72">
        <f>E36*COS((E42)/180*PI())</f>
        <v>2.6917700822490307</v>
      </c>
      <c r="H47" s="72">
        <f>-I36*SIN((I42)/180*PI())</f>
        <v>1.9860575972067964</v>
      </c>
      <c r="I47" s="72">
        <f>I36*COS((I42)/180*PI())</f>
        <v>1.449006208988449</v>
      </c>
      <c r="L47" s="72">
        <f>-M36*SIN((M42)/180*PI())</f>
        <v>-1.6531067071105896</v>
      </c>
      <c r="M47" s="72">
        <f>M36*COS((M42)/180*PI())</f>
        <v>0.69156771797931393</v>
      </c>
      <c r="N47" s="72">
        <f>-O36*SIN((O42)/180*PI())</f>
        <v>6.8159968906026229</v>
      </c>
      <c r="O47" s="72">
        <f>O36*COS((O42)/180*PI())</f>
        <v>5.2654414431784895</v>
      </c>
      <c r="S47" s="72"/>
      <c r="T47" s="72"/>
      <c r="W47" s="72"/>
      <c r="X47" s="72"/>
      <c r="AA47" s="72"/>
      <c r="AB47" s="72"/>
      <c r="AE47" s="72"/>
      <c r="AF47" s="72"/>
      <c r="AI47" s="72"/>
      <c r="AJ47" s="72"/>
      <c r="AK47" s="72"/>
      <c r="AL47" s="72"/>
      <c r="AO47" s="72"/>
      <c r="AP47" s="72"/>
      <c r="AS47" s="72"/>
      <c r="AT47" s="72"/>
    </row>
    <row r="48" spans="1:48" s="129" customFormat="1" x14ac:dyDescent="0.3">
      <c r="A48" s="118" t="s">
        <v>45</v>
      </c>
      <c r="B48" s="72">
        <f>B47-B18</f>
        <v>-8.6984558481261187E-3</v>
      </c>
      <c r="C48" s="72">
        <f>C47-C18</f>
        <v>-2.9022181962248039E-2</v>
      </c>
      <c r="D48" s="72">
        <f>D47-D18</f>
        <v>-0.46252055258105251</v>
      </c>
      <c r="E48" s="72">
        <f>E47-E18</f>
        <v>0.50264911814783719</v>
      </c>
      <c r="F48" s="63"/>
      <c r="G48" s="63"/>
      <c r="H48" s="72">
        <f>H47-H18</f>
        <v>-0.58191775430382431</v>
      </c>
      <c r="I48" s="72">
        <f>I47-I18</f>
        <v>0.12981266972519712</v>
      </c>
      <c r="J48" s="63"/>
      <c r="K48" s="63"/>
      <c r="L48" s="72">
        <f>L47-L18</f>
        <v>9.3673446175207564E-2</v>
      </c>
      <c r="M48" s="72">
        <f>M47-M18</f>
        <v>7.3637307892020498E-3</v>
      </c>
      <c r="N48" s="72">
        <f>N47-N18</f>
        <v>0.13254162207266962</v>
      </c>
      <c r="O48" s="72">
        <f>O47-O18</f>
        <v>-0.14671391985010729</v>
      </c>
      <c r="P48" s="63"/>
      <c r="Q48" s="63"/>
      <c r="S48" s="72"/>
      <c r="T48" s="72"/>
      <c r="W48" s="72"/>
      <c r="X48" s="72"/>
      <c r="AA48" s="72"/>
      <c r="AB48" s="72"/>
      <c r="AE48" s="72"/>
      <c r="AF48" s="72"/>
      <c r="AI48" s="72"/>
      <c r="AJ48" s="72"/>
      <c r="AK48" s="72"/>
      <c r="AL48" s="72"/>
      <c r="AO48" s="72"/>
      <c r="AP48" s="72"/>
      <c r="AS48" s="72"/>
      <c r="AT48" s="72"/>
    </row>
    <row r="49" spans="1:46" x14ac:dyDescent="0.3">
      <c r="A49" s="118" t="s">
        <v>46</v>
      </c>
      <c r="B49" s="118">
        <f>B48^2</f>
        <v>7.5663134141799472E-5</v>
      </c>
      <c r="C49" s="118">
        <f>C48^2</f>
        <v>8.4228704584983548E-4</v>
      </c>
      <c r="D49" s="118">
        <f>D48^2</f>
        <v>0.21392526155988217</v>
      </c>
      <c r="E49" s="118">
        <f>E48^2</f>
        <v>0.25265613597479841</v>
      </c>
      <c r="H49" s="118">
        <f>H48^2</f>
        <v>0.33862827277400603</v>
      </c>
      <c r="I49" s="118">
        <f>I48^2</f>
        <v>1.6851329221183108E-2</v>
      </c>
      <c r="L49" s="118">
        <f>L48^2</f>
        <v>8.7747145183395079E-3</v>
      </c>
      <c r="M49" s="118">
        <f>M48^2</f>
        <v>5.4224531135842245E-5</v>
      </c>
      <c r="N49" s="118">
        <f>N48^2</f>
        <v>1.7567281581654381E-2</v>
      </c>
      <c r="O49" s="118">
        <f>O48^2</f>
        <v>2.1524974277783705E-2</v>
      </c>
    </row>
    <row r="50" spans="1:46" s="129" customFormat="1" x14ac:dyDescent="0.3">
      <c r="A50" s="118" t="s">
        <v>47</v>
      </c>
      <c r="B50" s="72"/>
      <c r="C50" s="72">
        <f>SQRT(B49+C49)</f>
        <v>3.0297692651283445E-2</v>
      </c>
      <c r="D50" s="72"/>
      <c r="E50" s="72">
        <f>SQRT(D49+E49)</f>
        <v>0.68306763759870848</v>
      </c>
      <c r="F50" s="63"/>
      <c r="G50" s="63"/>
      <c r="H50" s="72"/>
      <c r="I50" s="72">
        <f>SQRT(H49+I49)</f>
        <v>0.59622110160173725</v>
      </c>
      <c r="J50" s="63"/>
      <c r="K50" s="63"/>
      <c r="L50" s="72"/>
      <c r="M50" s="72">
        <f>SQRT(L49+M49)</f>
        <v>9.3962434246220708E-2</v>
      </c>
      <c r="N50" s="72"/>
      <c r="O50" s="72">
        <f>SQRT(N49+O49)</f>
        <v>0.19771761646205954</v>
      </c>
      <c r="P50" s="63"/>
      <c r="Q50" s="63"/>
      <c r="S50" s="72"/>
      <c r="T50" s="72"/>
      <c r="W50" s="72"/>
      <c r="X50" s="72"/>
      <c r="AA50" s="72"/>
      <c r="AB50" s="72"/>
      <c r="AE50" s="72"/>
      <c r="AF50" s="72"/>
      <c r="AI50" s="72"/>
      <c r="AJ50" s="72"/>
      <c r="AK50" s="72"/>
      <c r="AL50" s="72"/>
      <c r="AO50" s="72"/>
      <c r="AP50" s="72"/>
      <c r="AS50" s="72"/>
      <c r="AT50" s="72"/>
    </row>
    <row r="51" spans="1:46" s="129" customFormat="1" x14ac:dyDescent="0.3">
      <c r="A51" s="118" t="s">
        <v>48</v>
      </c>
      <c r="B51" s="72"/>
      <c r="C51" s="77">
        <f>C50/C36</f>
        <v>2.898328638974481E-2</v>
      </c>
      <c r="D51" s="72"/>
      <c r="E51" s="77">
        <f>E50/E36</f>
        <v>0.10443908856517049</v>
      </c>
      <c r="F51" s="63"/>
      <c r="G51" s="63"/>
      <c r="H51" s="72"/>
      <c r="I51" s="77">
        <f>I50/I36</f>
        <v>0.242517756582351</v>
      </c>
      <c r="J51" s="63"/>
      <c r="K51" s="63"/>
      <c r="L51" s="72"/>
      <c r="M51" s="77">
        <f>M50/M36</f>
        <v>5.2436323454389838E-2</v>
      </c>
      <c r="N51" s="72"/>
      <c r="O51" s="77">
        <f>O50/O36</f>
        <v>2.2955887391266666E-2</v>
      </c>
      <c r="P51" s="63"/>
      <c r="Q51" s="63"/>
      <c r="S51" s="72"/>
      <c r="T51" s="77"/>
      <c r="W51" s="72"/>
      <c r="X51" s="77"/>
      <c r="AA51" s="72"/>
      <c r="AB51" s="77"/>
      <c r="AE51" s="72"/>
      <c r="AF51" s="77"/>
      <c r="AI51" s="72"/>
      <c r="AJ51" s="77"/>
      <c r="AK51" s="72"/>
      <c r="AL51" s="77"/>
      <c r="AO51" s="72"/>
      <c r="AP51" s="77"/>
      <c r="AS51" s="72"/>
      <c r="AT51" s="77"/>
    </row>
    <row r="52" spans="1:46" s="129" customFormat="1" x14ac:dyDescent="0.3">
      <c r="A52" s="118"/>
      <c r="B52" s="72"/>
      <c r="C52" s="144"/>
      <c r="D52" s="72"/>
      <c r="E52" s="144"/>
      <c r="F52" s="63"/>
      <c r="G52" s="63"/>
      <c r="H52" s="72"/>
      <c r="I52" s="144"/>
      <c r="J52" s="63"/>
      <c r="K52" s="63"/>
      <c r="L52" s="72"/>
      <c r="M52" s="144"/>
      <c r="N52" s="72"/>
      <c r="O52" s="144"/>
      <c r="P52" s="63"/>
      <c r="Q52" s="63"/>
      <c r="W52" s="72"/>
      <c r="X52" s="144"/>
      <c r="AA52" s="72"/>
      <c r="AB52" s="144"/>
      <c r="AE52" s="72"/>
      <c r="AF52" s="144"/>
      <c r="AI52" s="72"/>
      <c r="AJ52" s="144"/>
      <c r="AK52" s="72"/>
      <c r="AL52" s="144"/>
      <c r="AO52" s="72"/>
      <c r="AP52" s="144"/>
      <c r="AS52" s="72"/>
      <c r="AT52" s="144"/>
    </row>
    <row r="53" spans="1:46" s="129" customFormat="1" x14ac:dyDescent="0.3">
      <c r="A53" s="118" t="s">
        <v>89</v>
      </c>
      <c r="B53" s="72">
        <f>MEDIAN(B50:C50)</f>
        <v>3.0297692651283445E-2</v>
      </c>
      <c r="C53" s="144"/>
      <c r="D53" s="72">
        <f>MEDIAN(D50:E50)</f>
        <v>0.68306763759870848</v>
      </c>
      <c r="E53" s="144"/>
      <c r="F53" s="63"/>
      <c r="G53" s="63"/>
      <c r="H53" s="72">
        <f>MEDIAN(H50:I50)</f>
        <v>0.59622110160173725</v>
      </c>
      <c r="I53" s="144"/>
      <c r="J53" s="63"/>
      <c r="K53" s="63"/>
      <c r="L53" s="72">
        <f>MEDIAN(L50:M50)</f>
        <v>9.3962434246220708E-2</v>
      </c>
      <c r="M53" s="144"/>
      <c r="N53" s="72">
        <f>MEDIAN(N50:O50)</f>
        <v>0.19771761646205954</v>
      </c>
      <c r="O53" s="144"/>
      <c r="P53" s="63"/>
      <c r="Q53" s="63"/>
      <c r="W53" s="72"/>
      <c r="X53" s="144"/>
      <c r="AA53" s="72"/>
      <c r="AB53" s="144"/>
      <c r="AE53" s="72"/>
      <c r="AF53" s="144"/>
      <c r="AI53" s="72"/>
      <c r="AJ53" s="144"/>
      <c r="AK53" s="72"/>
      <c r="AL53" s="144"/>
      <c r="AO53" s="72"/>
      <c r="AP53" s="144"/>
      <c r="AS53" s="72"/>
      <c r="AT53" s="144"/>
    </row>
    <row r="54" spans="1:46" s="129" customFormat="1" x14ac:dyDescent="0.3">
      <c r="A54" s="118" t="s">
        <v>81</v>
      </c>
      <c r="B54" s="72">
        <f>AVERAGE(B50:C50)</f>
        <v>3.0297692651283445E-2</v>
      </c>
      <c r="C54" s="144"/>
      <c r="D54" s="72">
        <f>AVERAGE(D50:E50)</f>
        <v>0.68306763759870848</v>
      </c>
      <c r="E54" s="144"/>
      <c r="F54" s="63"/>
      <c r="G54" s="63"/>
      <c r="H54" s="72">
        <f>AVERAGE(H50:I50)</f>
        <v>0.59622110160173725</v>
      </c>
      <c r="I54" s="144"/>
      <c r="J54" s="63"/>
      <c r="K54" s="63"/>
      <c r="L54" s="72">
        <f>AVERAGE(L50:M50)</f>
        <v>9.3962434246220708E-2</v>
      </c>
      <c r="M54" s="144"/>
      <c r="N54" s="72">
        <f>AVERAGE(N50:O50)</f>
        <v>0.19771761646205954</v>
      </c>
      <c r="O54" s="144"/>
      <c r="P54" s="63"/>
      <c r="Q54" s="63"/>
      <c r="W54" s="72"/>
      <c r="X54" s="144"/>
      <c r="AA54" s="72"/>
      <c r="AB54" s="144"/>
      <c r="AE54" s="72"/>
      <c r="AF54" s="144"/>
      <c r="AI54" s="72"/>
      <c r="AJ54" s="144"/>
      <c r="AK54" s="72"/>
      <c r="AL54" s="144"/>
      <c r="AO54" s="72"/>
      <c r="AP54" s="144"/>
      <c r="AS54" s="72"/>
      <c r="AT54" s="144"/>
    </row>
    <row r="55" spans="1:46" s="129" customFormat="1" x14ac:dyDescent="0.3">
      <c r="A55" s="118" t="s">
        <v>82</v>
      </c>
      <c r="B55" s="72" t="e">
        <f>STDEV(B50:C50)</f>
        <v>#DIV/0!</v>
      </c>
      <c r="C55" s="144"/>
      <c r="D55" s="72" t="e">
        <f>STDEV(D50:E50)</f>
        <v>#DIV/0!</v>
      </c>
      <c r="E55" s="144"/>
      <c r="F55" s="63"/>
      <c r="G55" s="63"/>
      <c r="H55" s="72" t="e">
        <f>STDEV(H50:I50)</f>
        <v>#DIV/0!</v>
      </c>
      <c r="I55" s="144"/>
      <c r="J55" s="63"/>
      <c r="K55" s="63"/>
      <c r="L55" s="72" t="e">
        <f>STDEV(L50:M50)</f>
        <v>#DIV/0!</v>
      </c>
      <c r="M55" s="144"/>
      <c r="N55" s="72" t="e">
        <f>STDEV(N50:O50)</f>
        <v>#DIV/0!</v>
      </c>
      <c r="O55" s="144"/>
      <c r="P55" s="63"/>
      <c r="Q55" s="63"/>
      <c r="W55" s="72"/>
      <c r="X55" s="144"/>
      <c r="AA55" s="72"/>
      <c r="AB55" s="144"/>
      <c r="AE55" s="72"/>
      <c r="AF55" s="144"/>
      <c r="AI55" s="72"/>
      <c r="AJ55" s="144"/>
      <c r="AK55" s="72"/>
      <c r="AL55" s="144"/>
      <c r="AO55" s="72"/>
      <c r="AP55" s="144"/>
      <c r="AS55" s="72"/>
      <c r="AT55" s="144"/>
    </row>
    <row r="56" spans="1:46" s="129" customFormat="1" x14ac:dyDescent="0.3">
      <c r="A56" s="118" t="s">
        <v>83</v>
      </c>
      <c r="B56" s="72"/>
      <c r="C56" s="144"/>
      <c r="D56" s="144"/>
      <c r="E56" s="144"/>
      <c r="F56" s="63"/>
      <c r="G56" s="63"/>
      <c r="J56" s="63"/>
      <c r="K56" s="63"/>
      <c r="P56" s="63"/>
      <c r="Q56" s="63"/>
      <c r="W56" s="72"/>
      <c r="X56" s="144"/>
      <c r="AA56" s="72"/>
      <c r="AB56" s="144"/>
      <c r="AE56" s="72"/>
      <c r="AF56" s="144"/>
      <c r="AI56" s="72"/>
      <c r="AJ56" s="144"/>
      <c r="AK56" s="72"/>
      <c r="AL56" s="144"/>
      <c r="AO56" s="72"/>
      <c r="AP56" s="144"/>
      <c r="AS56" s="72"/>
      <c r="AT56" s="144"/>
    </row>
    <row r="57" spans="1:46" s="129" customFormat="1" x14ac:dyDescent="0.3">
      <c r="A57" s="118"/>
      <c r="B57" s="72"/>
      <c r="C57" s="72"/>
      <c r="D57" s="72"/>
      <c r="E57" s="72"/>
      <c r="F57" s="63"/>
      <c r="G57" s="63"/>
      <c r="J57" s="63"/>
      <c r="K57" s="63"/>
      <c r="P57" s="63"/>
      <c r="Q57" s="63"/>
      <c r="W57" s="72"/>
      <c r="X57" s="72"/>
      <c r="AA57" s="72"/>
      <c r="AB57" s="72"/>
      <c r="AE57" s="72"/>
      <c r="AF57" s="72"/>
      <c r="AI57" s="72"/>
      <c r="AJ57" s="72"/>
      <c r="AK57" s="72"/>
      <c r="AL57" s="72"/>
      <c r="AO57" s="72"/>
      <c r="AP57" s="72"/>
      <c r="AS57" s="72"/>
      <c r="AT57" s="72"/>
    </row>
    <row r="58" spans="1:46" s="129" customFormat="1" x14ac:dyDescent="0.3">
      <c r="B58" s="139"/>
      <c r="C58" s="139"/>
      <c r="D58" s="139"/>
      <c r="E58" s="139"/>
      <c r="F58" s="63"/>
      <c r="G58" s="63"/>
      <c r="J58" s="63"/>
      <c r="K58" s="63"/>
      <c r="P58" s="63"/>
      <c r="Q58" s="63"/>
      <c r="W58" s="139"/>
      <c r="X58" s="139"/>
      <c r="AA58" s="139"/>
      <c r="AB58" s="139"/>
      <c r="AE58" s="139"/>
      <c r="AF58" s="139"/>
      <c r="AI58" s="139"/>
      <c r="AJ58" s="139"/>
      <c r="AK58" s="139"/>
      <c r="AL58" s="139"/>
      <c r="AO58" s="139"/>
      <c r="AP58" s="139"/>
      <c r="AS58" s="139"/>
      <c r="AT58" s="139"/>
    </row>
    <row r="59" spans="1:46" x14ac:dyDescent="0.3">
      <c r="A59" s="139" t="s">
        <v>115</v>
      </c>
      <c r="B59" s="166"/>
      <c r="C59" s="141">
        <f>AVERAGE(C37:O37)</f>
        <v>2.1006028059857719E-2</v>
      </c>
      <c r="D59" s="302">
        <f>AVERAGE(C38:O38)</f>
        <v>-2.0637130757523485E-2</v>
      </c>
      <c r="W59" s="166"/>
      <c r="AA59" s="166"/>
      <c r="AE59" s="166"/>
      <c r="AI59" s="166"/>
      <c r="AK59" s="166"/>
      <c r="AO59" s="166"/>
      <c r="AS59" s="166"/>
    </row>
    <row r="60" spans="1:46" x14ac:dyDescent="0.3">
      <c r="A60" s="129" t="s">
        <v>116</v>
      </c>
      <c r="B60" s="166"/>
      <c r="C60" s="118">
        <f>STDEV(C37:O37)</f>
        <v>0.37957079544617672</v>
      </c>
      <c r="D60" s="118">
        <f>STDEV(C38:O38)</f>
        <v>9.1171325871398728E-2</v>
      </c>
      <c r="W60" s="166"/>
      <c r="AA60" s="166"/>
      <c r="AE60" s="166"/>
      <c r="AI60" s="166"/>
      <c r="AK60" s="166"/>
      <c r="AO60" s="166"/>
      <c r="AS60" s="166"/>
    </row>
    <row r="61" spans="1:46" x14ac:dyDescent="0.3">
      <c r="A61" s="129" t="s">
        <v>117</v>
      </c>
      <c r="B61" s="166"/>
      <c r="W61" s="166"/>
      <c r="AA61" s="166"/>
      <c r="AE61" s="166"/>
      <c r="AI61" s="166"/>
      <c r="AK61" s="166"/>
      <c r="AO61" s="166"/>
      <c r="AS61" s="166"/>
    </row>
    <row r="62" spans="1:46" x14ac:dyDescent="0.3">
      <c r="A62" s="129" t="s">
        <v>118</v>
      </c>
      <c r="B62" s="166"/>
      <c r="W62" s="166"/>
      <c r="AA62" s="166"/>
      <c r="AE62" s="166"/>
      <c r="AI62" s="166"/>
      <c r="AK62" s="166"/>
      <c r="AO62" s="166"/>
      <c r="AS62" s="166"/>
    </row>
  </sheetData>
  <mergeCells count="16">
    <mergeCell ref="B19:C19"/>
    <mergeCell ref="B34:C34"/>
    <mergeCell ref="D34:E34"/>
    <mergeCell ref="D10:E10"/>
    <mergeCell ref="B10:C10"/>
    <mergeCell ref="F10:G10"/>
    <mergeCell ref="AO10:AP10"/>
    <mergeCell ref="AS10:AT10"/>
    <mergeCell ref="J10:K10"/>
    <mergeCell ref="H10:I10"/>
    <mergeCell ref="P10:Q10"/>
    <mergeCell ref="H34:I34"/>
    <mergeCell ref="L10:M10"/>
    <mergeCell ref="L34:M34"/>
    <mergeCell ref="N10:O10"/>
    <mergeCell ref="N34:O34"/>
  </mergeCells>
  <pageMargins left="0.7" right="0.7" top="0.75" bottom="0.75" header="0.3" footer="0.3"/>
  <pageSetup scale="2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62"/>
  <sheetViews>
    <sheetView zoomScale="85" zoomScaleNormal="85" workbookViewId="0">
      <pane xSplit="1" ySplit="2" topLeftCell="B24" activePane="bottomRight" state="frozenSplit"/>
      <selection pane="topRight"/>
      <selection pane="bottomLeft" activeCell="A3" sqref="A3"/>
      <selection pane="bottomRight" activeCell="C59" sqref="C59:D59"/>
    </sheetView>
  </sheetViews>
  <sheetFormatPr defaultColWidth="9.109375" defaultRowHeight="14.4" x14ac:dyDescent="0.3"/>
  <cols>
    <col min="1" max="1" width="28" style="118" customWidth="1"/>
    <col min="2" max="3" width="11.6640625" style="118" customWidth="1"/>
    <col min="4" max="4" width="9.109375" style="63" customWidth="1"/>
    <col min="5" max="5" width="10" style="63" customWidth="1"/>
    <col min="6" max="7" width="11.6640625" style="118" customWidth="1"/>
    <col min="8" max="8" width="9.109375" style="63" customWidth="1"/>
    <col min="9" max="9" width="10" style="63" customWidth="1"/>
    <col min="10" max="11" width="11.6640625" style="118" customWidth="1"/>
    <col min="12" max="12" width="9.109375" style="63" customWidth="1"/>
    <col min="13" max="13" width="10" style="63" customWidth="1"/>
    <col min="14" max="15" width="11.6640625" style="118" customWidth="1"/>
    <col min="16" max="16" width="9.109375" style="63" customWidth="1"/>
    <col min="17" max="17" width="10" style="63" customWidth="1"/>
    <col min="18" max="18" width="9.109375" style="63" customWidth="1"/>
    <col min="19" max="19" width="10" style="63" customWidth="1"/>
    <col min="20" max="16384" width="9.109375" style="118"/>
  </cols>
  <sheetData>
    <row r="1" spans="1:50" s="127" customFormat="1" x14ac:dyDescent="0.3">
      <c r="A1" s="120" t="s">
        <v>39</v>
      </c>
      <c r="B1" s="120"/>
      <c r="C1" s="120"/>
      <c r="D1" s="67"/>
      <c r="E1" s="67"/>
      <c r="F1" s="120"/>
      <c r="G1" s="120"/>
      <c r="H1" s="67"/>
      <c r="I1" s="67"/>
      <c r="J1" s="120"/>
      <c r="K1" s="120"/>
      <c r="L1" s="67"/>
      <c r="M1" s="67"/>
      <c r="N1" s="120"/>
      <c r="O1" s="120"/>
      <c r="P1" s="67"/>
      <c r="Q1" s="67"/>
      <c r="R1" s="67"/>
      <c r="S1" s="67"/>
    </row>
    <row r="2" spans="1:50" s="249" customFormat="1" x14ac:dyDescent="0.3">
      <c r="B2" s="116"/>
      <c r="C2" s="116" t="s">
        <v>393</v>
      </c>
      <c r="D2" s="61"/>
      <c r="E2" s="61" t="s">
        <v>390</v>
      </c>
      <c r="F2" s="116"/>
      <c r="G2" s="116" t="s">
        <v>394</v>
      </c>
      <c r="H2" s="61"/>
      <c r="I2" s="61" t="s">
        <v>391</v>
      </c>
      <c r="J2" s="116"/>
      <c r="K2" s="116" t="s">
        <v>395</v>
      </c>
      <c r="L2" s="61"/>
      <c r="M2" s="61" t="s">
        <v>396</v>
      </c>
      <c r="N2" s="116"/>
      <c r="O2" s="116" t="s">
        <v>397</v>
      </c>
      <c r="P2" s="61"/>
      <c r="Q2" s="61" t="s">
        <v>398</v>
      </c>
      <c r="R2" s="61"/>
      <c r="S2" s="61"/>
      <c r="T2" s="257"/>
      <c r="U2" s="83"/>
      <c r="V2" s="256"/>
      <c r="W2" s="116"/>
      <c r="X2" s="61"/>
      <c r="Y2" s="61"/>
      <c r="Z2" s="116"/>
      <c r="AA2" s="116"/>
      <c r="AB2" s="61"/>
      <c r="AC2" s="61"/>
      <c r="AD2" s="116"/>
      <c r="AE2" s="116"/>
      <c r="AF2" s="61"/>
      <c r="AG2" s="61"/>
      <c r="AH2" s="116"/>
      <c r="AI2" s="116"/>
      <c r="AJ2" s="61"/>
      <c r="AK2" s="61"/>
      <c r="AL2" s="116"/>
      <c r="AM2" s="61"/>
      <c r="AN2" s="116"/>
      <c r="AO2" s="116"/>
      <c r="AP2" s="61"/>
      <c r="AQ2" s="61"/>
      <c r="AR2" s="116"/>
      <c r="AS2" s="116"/>
      <c r="AT2" s="61"/>
      <c r="AU2" s="61"/>
      <c r="AV2" s="116"/>
      <c r="AW2" s="116"/>
      <c r="AX2" s="61"/>
    </row>
    <row r="3" spans="1:50" s="249" customFormat="1" x14ac:dyDescent="0.3">
      <c r="B3" s="116" t="s">
        <v>61</v>
      </c>
      <c r="C3" s="116" t="s">
        <v>60</v>
      </c>
      <c r="D3" s="61"/>
      <c r="E3" s="61"/>
      <c r="F3" s="116" t="s">
        <v>61</v>
      </c>
      <c r="G3" s="116" t="s">
        <v>60</v>
      </c>
      <c r="H3" s="61"/>
      <c r="I3" s="61"/>
      <c r="J3" s="116" t="s">
        <v>61</v>
      </c>
      <c r="K3" s="116" t="s">
        <v>60</v>
      </c>
      <c r="L3" s="61"/>
      <c r="M3" s="61"/>
      <c r="N3" s="116" t="s">
        <v>61</v>
      </c>
      <c r="O3" s="116" t="s">
        <v>60</v>
      </c>
      <c r="P3" s="61"/>
      <c r="Q3" s="61"/>
      <c r="R3" s="61"/>
      <c r="S3" s="61"/>
      <c r="U3" s="259"/>
      <c r="V3" s="259"/>
      <c r="Y3" s="118"/>
      <c r="Z3" s="118"/>
    </row>
    <row r="4" spans="1:50" x14ac:dyDescent="0.3">
      <c r="A4" s="118" t="s">
        <v>1</v>
      </c>
      <c r="B4" s="118">
        <v>565.81399999999996</v>
      </c>
      <c r="C4" s="118">
        <f>960-627.945</f>
        <v>332.05499999999995</v>
      </c>
      <c r="D4" s="63">
        <v>505</v>
      </c>
      <c r="E4" s="63">
        <v>623</v>
      </c>
      <c r="F4" s="118">
        <v>524.69000000000005</v>
      </c>
      <c r="G4" s="118">
        <f>960-519.585</f>
        <v>440.41499999999996</v>
      </c>
      <c r="H4" s="63">
        <v>502</v>
      </c>
      <c r="I4" s="63">
        <v>676</v>
      </c>
      <c r="J4" s="118">
        <v>690.26</v>
      </c>
      <c r="K4" s="118">
        <f>960-435.814</f>
        <v>524.18599999999992</v>
      </c>
      <c r="L4" s="63">
        <v>637</v>
      </c>
      <c r="M4" s="63">
        <v>731</v>
      </c>
      <c r="N4" s="118">
        <v>953</v>
      </c>
      <c r="O4" s="118">
        <v>503</v>
      </c>
      <c r="P4" s="63">
        <v>1016</v>
      </c>
      <c r="Q4" s="63">
        <v>469</v>
      </c>
      <c r="T4" s="217"/>
      <c r="U4" s="260"/>
      <c r="V4" s="258"/>
      <c r="AB4" s="217"/>
      <c r="AO4" s="63"/>
      <c r="AP4" s="63"/>
      <c r="AT4" s="217"/>
      <c r="AX4" s="217"/>
    </row>
    <row r="5" spans="1:50" x14ac:dyDescent="0.3">
      <c r="A5" s="118" t="s">
        <v>2</v>
      </c>
      <c r="B5" s="147">
        <v>577.53</v>
      </c>
      <c r="C5" s="118">
        <f>960-589.847</f>
        <v>370.15300000000002</v>
      </c>
      <c r="D5" s="63">
        <v>727</v>
      </c>
      <c r="E5" s="63">
        <v>45</v>
      </c>
      <c r="F5" s="118">
        <v>537.01499999999999</v>
      </c>
      <c r="G5" s="118">
        <f>960-480.553</f>
        <v>479.447</v>
      </c>
      <c r="H5" s="63">
        <v>713</v>
      </c>
      <c r="I5" s="63">
        <v>115</v>
      </c>
      <c r="J5" s="118">
        <v>687</v>
      </c>
      <c r="K5" s="118">
        <v>542</v>
      </c>
      <c r="L5" s="63">
        <v>844</v>
      </c>
      <c r="M5" s="63">
        <v>170</v>
      </c>
      <c r="N5" s="118">
        <v>972</v>
      </c>
      <c r="O5" s="118">
        <v>499</v>
      </c>
      <c r="P5" s="63">
        <v>383</v>
      </c>
      <c r="Q5" s="63">
        <v>371</v>
      </c>
      <c r="T5" s="217"/>
      <c r="U5" s="260"/>
      <c r="V5" s="258"/>
      <c r="AB5" s="217"/>
      <c r="AO5" s="63"/>
      <c r="AP5" s="63"/>
      <c r="AT5" s="217"/>
      <c r="AX5" s="217"/>
    </row>
    <row r="6" spans="1:50" x14ac:dyDescent="0.3">
      <c r="A6" s="118" t="s">
        <v>4</v>
      </c>
      <c r="B6" s="118">
        <f t="shared" ref="B6:I6" si="0">B5-B4</f>
        <v>11.716000000000008</v>
      </c>
      <c r="C6" s="118">
        <f t="shared" si="0"/>
        <v>38.09800000000007</v>
      </c>
      <c r="D6" s="63">
        <f>D5-D4</f>
        <v>222</v>
      </c>
      <c r="E6" s="63">
        <f>E5-E4</f>
        <v>-578</v>
      </c>
      <c r="F6" s="118">
        <f>F5-F4</f>
        <v>12.324999999999932</v>
      </c>
      <c r="G6" s="118">
        <f>G5-G4</f>
        <v>39.032000000000039</v>
      </c>
      <c r="H6" s="63">
        <f t="shared" si="0"/>
        <v>211</v>
      </c>
      <c r="I6" s="63">
        <f t="shared" si="0"/>
        <v>-561</v>
      </c>
      <c r="J6" s="118">
        <f t="shared" ref="J6:Q6" si="1">J5-J4</f>
        <v>-3.2599999999999909</v>
      </c>
      <c r="K6" s="118">
        <f t="shared" si="1"/>
        <v>17.814000000000078</v>
      </c>
      <c r="L6" s="63">
        <f t="shared" si="1"/>
        <v>207</v>
      </c>
      <c r="M6" s="63">
        <f t="shared" si="1"/>
        <v>-561</v>
      </c>
      <c r="N6" s="118">
        <f t="shared" si="1"/>
        <v>19</v>
      </c>
      <c r="O6" s="118">
        <f t="shared" si="1"/>
        <v>-4</v>
      </c>
      <c r="P6" s="63">
        <f t="shared" si="1"/>
        <v>-633</v>
      </c>
      <c r="Q6" s="63">
        <f t="shared" si="1"/>
        <v>-98</v>
      </c>
      <c r="T6" s="63"/>
      <c r="U6" s="74"/>
      <c r="V6" s="74"/>
      <c r="W6" s="63"/>
      <c r="X6" s="63"/>
      <c r="Y6" s="74"/>
      <c r="Z6" s="74"/>
      <c r="AA6" s="63"/>
      <c r="AB6" s="63"/>
      <c r="AC6" s="74"/>
      <c r="AD6" s="74"/>
      <c r="AE6" s="63"/>
      <c r="AF6" s="63"/>
      <c r="AG6" s="74"/>
      <c r="AH6" s="74"/>
      <c r="AI6" s="63"/>
      <c r="AJ6" s="63"/>
      <c r="AK6" s="74"/>
      <c r="AL6" s="74"/>
      <c r="AM6" s="74"/>
      <c r="AN6" s="74"/>
      <c r="AO6" s="63"/>
      <c r="AP6" s="63"/>
      <c r="AQ6" s="74"/>
      <c r="AR6" s="74"/>
      <c r="AS6" s="63"/>
      <c r="AT6" s="63"/>
      <c r="AU6" s="74"/>
      <c r="AV6" s="74"/>
      <c r="AW6" s="63"/>
      <c r="AX6" s="63"/>
    </row>
    <row r="7" spans="1:50" x14ac:dyDescent="0.3">
      <c r="A7" s="118" t="s">
        <v>5</v>
      </c>
      <c r="B7" s="118">
        <f t="shared" ref="B7:I7" si="2">B6^2</f>
        <v>137.2646560000002</v>
      </c>
      <c r="C7" s="118">
        <f t="shared" si="2"/>
        <v>1451.4576040000054</v>
      </c>
      <c r="D7" s="63">
        <f>D6^2</f>
        <v>49284</v>
      </c>
      <c r="E7" s="63">
        <f>E6^2</f>
        <v>334084</v>
      </c>
      <c r="F7" s="118">
        <f>F6^2</f>
        <v>151.90562499999831</v>
      </c>
      <c r="G7" s="118">
        <f>G6^2</f>
        <v>1523.497024000003</v>
      </c>
      <c r="H7" s="63">
        <f t="shared" si="2"/>
        <v>44521</v>
      </c>
      <c r="I7" s="63">
        <f t="shared" si="2"/>
        <v>314721</v>
      </c>
      <c r="J7" s="118">
        <f t="shared" ref="J7:Q7" si="3">J6^2</f>
        <v>10.627599999999941</v>
      </c>
      <c r="K7" s="118">
        <f t="shared" si="3"/>
        <v>317.33859600000278</v>
      </c>
      <c r="L7" s="63">
        <f t="shared" si="3"/>
        <v>42849</v>
      </c>
      <c r="M7" s="63">
        <f t="shared" si="3"/>
        <v>314721</v>
      </c>
      <c r="N7" s="118">
        <f t="shared" si="3"/>
        <v>361</v>
      </c>
      <c r="O7" s="118">
        <f t="shared" si="3"/>
        <v>16</v>
      </c>
      <c r="P7" s="63">
        <f t="shared" si="3"/>
        <v>400689</v>
      </c>
      <c r="Q7" s="63">
        <f t="shared" si="3"/>
        <v>9604</v>
      </c>
      <c r="T7" s="63"/>
      <c r="U7" s="74"/>
      <c r="V7" s="74"/>
      <c r="W7" s="63"/>
      <c r="X7" s="63"/>
      <c r="Y7" s="74"/>
      <c r="Z7" s="74"/>
      <c r="AA7" s="63"/>
      <c r="AB7" s="63"/>
      <c r="AC7" s="74"/>
      <c r="AD7" s="74"/>
      <c r="AE7" s="63"/>
      <c r="AF7" s="63"/>
      <c r="AG7" s="74"/>
      <c r="AH7" s="74"/>
      <c r="AI7" s="63"/>
      <c r="AJ7" s="63"/>
      <c r="AK7" s="74"/>
      <c r="AL7" s="74"/>
      <c r="AM7" s="74"/>
      <c r="AN7" s="74"/>
      <c r="AO7" s="63"/>
      <c r="AP7" s="63"/>
      <c r="AQ7" s="74"/>
      <c r="AR7" s="74"/>
      <c r="AS7" s="63"/>
      <c r="AT7" s="63"/>
      <c r="AU7" s="74"/>
      <c r="AV7" s="74"/>
      <c r="AW7" s="63"/>
      <c r="AX7" s="63"/>
    </row>
    <row r="8" spans="1:50" x14ac:dyDescent="0.3">
      <c r="A8" s="118" t="s">
        <v>6</v>
      </c>
      <c r="C8" s="118">
        <f>SQRT(SUM(B7:C7))</f>
        <v>39.858778957715273</v>
      </c>
      <c r="E8" s="63">
        <f>SQRT(SUM(D7:E7))</f>
        <v>619.16718259287609</v>
      </c>
      <c r="G8" s="118">
        <f>SQRT(SUM(F7:G7))</f>
        <v>40.931682704232934</v>
      </c>
      <c r="I8" s="63">
        <f>SQRT(SUM(H7:I7))</f>
        <v>599.36800048050611</v>
      </c>
      <c r="K8" s="118">
        <f>SQRT(SUM(J7:K7))</f>
        <v>18.109836995401221</v>
      </c>
      <c r="M8" s="63">
        <f>SQRT(SUM(L7:M7))</f>
        <v>597.97157123060629</v>
      </c>
      <c r="O8" s="118">
        <f>SQRT(SUM(N7:O7))</f>
        <v>19.416487838947599</v>
      </c>
      <c r="Q8" s="63">
        <f>SQRT(SUM(P7:Q7))</f>
        <v>640.54117744294945</v>
      </c>
      <c r="T8" s="63"/>
      <c r="U8" s="74"/>
      <c r="V8" s="74"/>
      <c r="W8" s="63"/>
      <c r="X8" s="63"/>
      <c r="Y8" s="74"/>
      <c r="Z8" s="74"/>
      <c r="AA8" s="63"/>
      <c r="AB8" s="63"/>
      <c r="AC8" s="74"/>
      <c r="AD8" s="74"/>
      <c r="AE8" s="63"/>
      <c r="AF8" s="63"/>
      <c r="AG8" s="74"/>
      <c r="AH8" s="74"/>
      <c r="AI8" s="63"/>
      <c r="AJ8" s="63"/>
      <c r="AK8" s="74"/>
      <c r="AL8" s="74"/>
      <c r="AM8" s="74"/>
      <c r="AN8" s="74"/>
      <c r="AO8" s="63"/>
      <c r="AP8" s="63"/>
      <c r="AQ8" s="74"/>
      <c r="AR8" s="74"/>
      <c r="AS8" s="63"/>
      <c r="AT8" s="63"/>
      <c r="AU8" s="74"/>
      <c r="AV8" s="74"/>
      <c r="AW8" s="63"/>
      <c r="AX8" s="63"/>
    </row>
    <row r="9" spans="1:50" x14ac:dyDescent="0.3">
      <c r="A9" s="118" t="s">
        <v>7</v>
      </c>
      <c r="C9" s="118">
        <f>MOD(ATAN2(C6,B6)*180/PI()+270,360)</f>
        <v>287.09385144074668</v>
      </c>
      <c r="E9" s="63">
        <f>MOD(ATAN2(E6,D6)*180/PI()+270,360)</f>
        <v>68.989064009552408</v>
      </c>
      <c r="G9" s="118">
        <f>MOD(ATAN2(G6,F6)*180/PI()+270,360)</f>
        <v>287.5243740647324</v>
      </c>
      <c r="I9" s="63">
        <f>MOD(ATAN2(I6,H6)*180/PI()+270,360)</f>
        <v>69.388012814681019</v>
      </c>
      <c r="K9" s="118">
        <f>MOD(ATAN2(K6,J6)*180/PI()+270,360)</f>
        <v>259.62950255861699</v>
      </c>
      <c r="M9" s="63">
        <f>MOD(ATAN2(M6,L6)*180/PI()+270,360)</f>
        <v>69.74674821262613</v>
      </c>
      <c r="O9" s="118">
        <f>MOD(ATAN2(O6,N6)*180/PI()+270,360)</f>
        <v>11.888658039628012</v>
      </c>
      <c r="Q9" s="63">
        <f>MOD(ATAN2(Q6,P6)*180/PI()+270,360)</f>
        <v>171.19943226583149</v>
      </c>
      <c r="T9" s="63"/>
      <c r="U9" s="74"/>
      <c r="V9" s="74"/>
      <c r="W9" s="63"/>
      <c r="X9" s="63"/>
      <c r="Y9" s="74"/>
      <c r="Z9" s="74"/>
      <c r="AA9" s="63"/>
      <c r="AB9" s="63"/>
      <c r="AC9" s="74"/>
      <c r="AD9" s="74"/>
      <c r="AE9" s="63"/>
      <c r="AF9" s="63"/>
      <c r="AG9" s="74"/>
      <c r="AH9" s="74"/>
      <c r="AI9" s="63"/>
      <c r="AJ9" s="63"/>
      <c r="AK9" s="74"/>
      <c r="AL9" s="74"/>
      <c r="AM9" s="74"/>
      <c r="AN9" s="74"/>
      <c r="AO9" s="63"/>
      <c r="AP9" s="63"/>
      <c r="AQ9" s="74"/>
      <c r="AR9" s="74"/>
      <c r="AS9" s="63"/>
      <c r="AT9" s="63"/>
      <c r="AU9" s="74"/>
      <c r="AV9" s="74"/>
      <c r="AW9" s="63"/>
      <c r="AX9" s="63"/>
    </row>
    <row r="10" spans="1:50" s="248" customFormat="1" ht="117" customHeight="1" x14ac:dyDescent="0.3">
      <c r="A10" s="250" t="s">
        <v>40</v>
      </c>
      <c r="B10" s="430" t="s">
        <v>392</v>
      </c>
      <c r="C10" s="430"/>
      <c r="D10" s="382"/>
      <c r="E10" s="382"/>
      <c r="F10" s="430" t="s">
        <v>392</v>
      </c>
      <c r="G10" s="430"/>
      <c r="H10" s="382"/>
      <c r="I10" s="382"/>
      <c r="J10" s="430" t="s">
        <v>399</v>
      </c>
      <c r="K10" s="430"/>
      <c r="L10" s="382"/>
      <c r="M10" s="382"/>
      <c r="N10" s="430" t="s">
        <v>399</v>
      </c>
      <c r="O10" s="430"/>
      <c r="P10" s="382"/>
      <c r="Q10" s="382"/>
      <c r="R10" s="382"/>
      <c r="S10" s="382"/>
      <c r="AG10" s="74"/>
      <c r="AH10" s="74"/>
      <c r="AQ10" s="425"/>
      <c r="AR10" s="425"/>
      <c r="AU10" s="425"/>
      <c r="AV10" s="425"/>
    </row>
    <row r="11" spans="1:50" s="127" customFormat="1" x14ac:dyDescent="0.3">
      <c r="A11" s="120" t="s">
        <v>37</v>
      </c>
      <c r="B11" s="120"/>
      <c r="C11" s="120"/>
      <c r="D11" s="67"/>
      <c r="E11" s="67"/>
      <c r="F11" s="120"/>
      <c r="G11" s="120"/>
      <c r="H11" s="67"/>
      <c r="I11" s="67"/>
      <c r="J11" s="120"/>
      <c r="K11" s="120"/>
      <c r="L11" s="67"/>
      <c r="M11" s="67"/>
      <c r="N11" s="120"/>
      <c r="O11" s="120"/>
      <c r="P11" s="67"/>
      <c r="Q11" s="67"/>
      <c r="R11" s="67"/>
      <c r="S11" s="67"/>
    </row>
    <row r="12" spans="1:50" s="303" customFormat="1" x14ac:dyDescent="0.3">
      <c r="B12" s="303" t="s">
        <v>62</v>
      </c>
      <c r="C12" s="303" t="s">
        <v>63</v>
      </c>
      <c r="D12" s="69"/>
      <c r="E12" s="69"/>
      <c r="F12" s="303" t="s">
        <v>62</v>
      </c>
      <c r="G12" s="303" t="s">
        <v>63</v>
      </c>
      <c r="H12" s="69"/>
      <c r="I12" s="69"/>
      <c r="J12" s="303" t="s">
        <v>62</v>
      </c>
      <c r="K12" s="303" t="s">
        <v>63</v>
      </c>
      <c r="L12" s="69"/>
      <c r="M12" s="69"/>
      <c r="N12" s="303" t="s">
        <v>62</v>
      </c>
      <c r="O12" s="303" t="s">
        <v>63</v>
      </c>
      <c r="P12" s="69"/>
      <c r="Q12" s="69"/>
      <c r="R12" s="69"/>
      <c r="S12" s="69"/>
    </row>
    <row r="13" spans="1:50" x14ac:dyDescent="0.3">
      <c r="A13" s="118" t="s">
        <v>18</v>
      </c>
      <c r="J13" s="118">
        <v>690</v>
      </c>
      <c r="K13" s="118">
        <v>524</v>
      </c>
    </row>
    <row r="14" spans="1:50" x14ac:dyDescent="0.3">
      <c r="A14" s="118" t="s">
        <v>17</v>
      </c>
      <c r="J14" s="118">
        <v>687</v>
      </c>
      <c r="K14" s="118">
        <v>542</v>
      </c>
    </row>
    <row r="15" spans="1:50" x14ac:dyDescent="0.3">
      <c r="A15" s="118" t="s">
        <v>14</v>
      </c>
    </row>
    <row r="16" spans="1:50" x14ac:dyDescent="0.3">
      <c r="A16" s="118" t="s">
        <v>13</v>
      </c>
      <c r="C16" s="147">
        <v>4.4509999999999996</v>
      </c>
      <c r="E16" s="111">
        <f>5*15.0412*COS((19+50/60+29/3600)*PI()/180)</f>
        <v>70.741458123446847</v>
      </c>
      <c r="G16" s="147">
        <v>4.4509999999999996</v>
      </c>
      <c r="I16" s="111">
        <f>5*15.0412*COS((19+50/60+29/3600)*PI()/180)</f>
        <v>70.741458123446847</v>
      </c>
      <c r="K16" s="147">
        <v>1.982</v>
      </c>
      <c r="M16" s="111">
        <f>5*15.0412*COS((10+31/60+44/3600)*PI()/180)</f>
        <v>73.939748929355105</v>
      </c>
      <c r="O16" s="147">
        <v>1.982</v>
      </c>
      <c r="Q16" s="111">
        <f>5*15.0412*COS((10+31/60+44/3600)*PI()/180)</f>
        <v>73.939748929355105</v>
      </c>
      <c r="S16" s="111"/>
      <c r="T16" s="255"/>
      <c r="W16" s="63"/>
      <c r="X16" s="111"/>
      <c r="AA16" s="63"/>
      <c r="AB16" s="111"/>
      <c r="AE16" s="63"/>
      <c r="AF16" s="111"/>
      <c r="AI16" s="63"/>
      <c r="AJ16" s="111"/>
      <c r="AO16" s="63"/>
      <c r="AP16" s="111"/>
      <c r="AS16" s="63"/>
      <c r="AT16" s="111"/>
      <c r="AW16" s="63"/>
      <c r="AX16" s="111"/>
    </row>
    <row r="17" spans="1:50" x14ac:dyDescent="0.3">
      <c r="A17" s="118" t="s">
        <v>7</v>
      </c>
      <c r="C17" s="118">
        <v>125.73</v>
      </c>
      <c r="E17" s="63">
        <v>-90</v>
      </c>
      <c r="G17" s="118">
        <v>125.73</v>
      </c>
      <c r="I17" s="63">
        <v>-90</v>
      </c>
      <c r="K17" s="118">
        <v>100.05</v>
      </c>
      <c r="M17" s="63">
        <v>-90</v>
      </c>
      <c r="O17" s="118">
        <v>100.05</v>
      </c>
      <c r="Q17" s="63">
        <v>-90</v>
      </c>
      <c r="T17" s="63"/>
      <c r="W17" s="63"/>
      <c r="X17" s="63"/>
      <c r="AA17" s="63"/>
      <c r="AB17" s="63"/>
      <c r="AD17" s="141"/>
      <c r="AE17" s="63"/>
      <c r="AF17" s="63"/>
      <c r="AH17" s="141"/>
      <c r="AI17" s="63"/>
      <c r="AJ17" s="63"/>
      <c r="AO17" s="63"/>
      <c r="AP17" s="63"/>
      <c r="AS17" s="63"/>
      <c r="AT17" s="63"/>
      <c r="AW17" s="63"/>
      <c r="AX17" s="63"/>
    </row>
    <row r="18" spans="1:50" x14ac:dyDescent="0.3">
      <c r="A18" s="118" t="s">
        <v>32</v>
      </c>
      <c r="B18" s="72">
        <f>-C16*SIN((C17)/180*PI())</f>
        <v>-3.613223317722976</v>
      </c>
      <c r="C18" s="72">
        <f>C16*COS((C17)/180*PI())</f>
        <v>-2.5992341672621504</v>
      </c>
      <c r="D18" s="72">
        <f>-E16*SIN((E17)/180*PI())</f>
        <v>70.741458123446847</v>
      </c>
      <c r="E18" s="72">
        <f>E16*COS((E17)/180*PI())</f>
        <v>4.3334394058961876E-15</v>
      </c>
      <c r="F18" s="72">
        <f>-G16*SIN((G17)/180*PI())</f>
        <v>-3.613223317722976</v>
      </c>
      <c r="G18" s="72">
        <f>G16*COS((G17)/180*PI())</f>
        <v>-2.5992341672621504</v>
      </c>
      <c r="H18" s="72">
        <f>-I16*SIN((I17)/180*PI())</f>
        <v>70.741458123446847</v>
      </c>
      <c r="I18" s="72">
        <f>I16*COS((I17)/180*PI())</f>
        <v>4.3334394058961876E-15</v>
      </c>
      <c r="J18" s="72">
        <f>-K16*SIN((K17)/180*PI())</f>
        <v>-1.9515878776992974</v>
      </c>
      <c r="K18" s="72">
        <f>K16*COS((K17)/180*PI())</f>
        <v>-0.3458739013240979</v>
      </c>
      <c r="L18" s="72">
        <f>-M16*SIN((M17)/180*PI())</f>
        <v>73.939748929355105</v>
      </c>
      <c r="M18" s="72">
        <f>M16*COS((M17)/180*PI())</f>
        <v>4.5293584578565349E-15</v>
      </c>
      <c r="N18" s="72">
        <f>-O16*SIN((O17)/180*PI())</f>
        <v>-1.9515878776992974</v>
      </c>
      <c r="O18" s="72">
        <f>O16*COS((O17)/180*PI())</f>
        <v>-0.3458739013240979</v>
      </c>
      <c r="P18" s="72">
        <f>-Q16*SIN((Q17)/180*PI())</f>
        <v>73.939748929355105</v>
      </c>
      <c r="Q18" s="72">
        <f>Q16*COS((Q17)/180*PI())</f>
        <v>4.5293584578565349E-15</v>
      </c>
      <c r="R18" s="72"/>
      <c r="S18" s="72"/>
      <c r="T18" s="72"/>
      <c r="U18" s="72"/>
      <c r="V18" s="72"/>
      <c r="W18" s="72"/>
      <c r="X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row>
    <row r="19" spans="1:50" s="164" customFormat="1" ht="69" customHeight="1" x14ac:dyDescent="0.3">
      <c r="A19" s="251" t="s">
        <v>40</v>
      </c>
      <c r="B19" s="388"/>
      <c r="C19" s="388"/>
      <c r="D19" s="65"/>
      <c r="E19" s="65"/>
      <c r="F19" s="388"/>
      <c r="G19" s="388"/>
      <c r="H19" s="65"/>
      <c r="I19" s="65"/>
      <c r="J19" s="388"/>
      <c r="K19" s="388"/>
      <c r="L19" s="65"/>
      <c r="M19" s="65"/>
      <c r="N19" s="388"/>
      <c r="O19" s="388"/>
      <c r="P19" s="65"/>
      <c r="Q19" s="65"/>
      <c r="R19" s="65"/>
      <c r="S19" s="65"/>
    </row>
    <row r="20" spans="1:50" s="127" customFormat="1" x14ac:dyDescent="0.3">
      <c r="A20" s="252" t="s">
        <v>38</v>
      </c>
      <c r="D20" s="67"/>
      <c r="E20" s="67"/>
      <c r="H20" s="67"/>
      <c r="I20" s="67"/>
      <c r="L20" s="67"/>
      <c r="M20" s="67"/>
      <c r="P20" s="67"/>
      <c r="Q20" s="67"/>
      <c r="R20" s="67"/>
      <c r="S20" s="67"/>
    </row>
    <row r="21" spans="1:50" x14ac:dyDescent="0.3">
      <c r="A21" s="139" t="s">
        <v>65</v>
      </c>
      <c r="C21" s="118">
        <f>C16/C8</f>
        <v>0.1116692512011445</v>
      </c>
      <c r="E21" s="118">
        <f>E16/E8</f>
        <v>0.11425259624905186</v>
      </c>
      <c r="G21" s="118">
        <f>G16/G8</f>
        <v>0.10874217002419256</v>
      </c>
      <c r="I21" s="118">
        <f>I16/I8</f>
        <v>0.11802675162293327</v>
      </c>
      <c r="K21" s="118">
        <f>K16/K8</f>
        <v>0.10944328215120354</v>
      </c>
      <c r="M21" s="118">
        <f>M16/M8</f>
        <v>0.12365094343396539</v>
      </c>
      <c r="O21" s="118">
        <f>O16/O8</f>
        <v>0.10207819336019666</v>
      </c>
      <c r="Q21" s="118">
        <f>Q16/Q8</f>
        <v>0.11543324852981936</v>
      </c>
      <c r="S21" s="118"/>
      <c r="AO21" s="63"/>
      <c r="AS21" s="63"/>
    </row>
    <row r="22" spans="1:50" x14ac:dyDescent="0.3">
      <c r="A22" s="118" t="s">
        <v>34</v>
      </c>
      <c r="C22" s="129"/>
      <c r="G22" s="129"/>
      <c r="K22" s="129"/>
      <c r="O22" s="129"/>
      <c r="V22" s="63"/>
      <c r="X22" s="63"/>
      <c r="Z22" s="129"/>
      <c r="AB22" s="63"/>
      <c r="AD22" s="129"/>
      <c r="AF22" s="63"/>
      <c r="AH22" s="129"/>
      <c r="AJ22" s="63"/>
      <c r="AL22" s="129"/>
      <c r="AN22" s="129"/>
      <c r="AO22" s="63"/>
      <c r="AP22" s="63"/>
      <c r="AR22" s="129"/>
      <c r="AS22" s="63"/>
      <c r="AT22" s="63"/>
      <c r="AV22" s="129"/>
      <c r="AX22" s="63"/>
    </row>
    <row r="23" spans="1:50" x14ac:dyDescent="0.3">
      <c r="A23" s="118" t="s">
        <v>35</v>
      </c>
      <c r="C23" s="118">
        <f>C21-$C22</f>
        <v>0.1116692512011445</v>
      </c>
      <c r="E23" s="118">
        <f>E21-$C22</f>
        <v>0.11425259624905186</v>
      </c>
      <c r="G23" s="118">
        <f>G21-$C22</f>
        <v>0.10874217002419256</v>
      </c>
      <c r="I23" s="118">
        <f>I21-$C22</f>
        <v>0.11802675162293327</v>
      </c>
      <c r="K23" s="118">
        <f>K21-$C22</f>
        <v>0.10944328215120354</v>
      </c>
      <c r="M23" s="118">
        <f>M21-$C22</f>
        <v>0.12365094343396539</v>
      </c>
      <c r="O23" s="118">
        <f>O21-$C22</f>
        <v>0.10207819336019666</v>
      </c>
      <c r="Q23" s="118">
        <f>Q21-$C22</f>
        <v>0.11543324852981936</v>
      </c>
      <c r="S23" s="118"/>
      <c r="AO23" s="63"/>
      <c r="AS23" s="63"/>
    </row>
    <row r="24" spans="1:50" x14ac:dyDescent="0.3">
      <c r="A24" s="139" t="s">
        <v>64</v>
      </c>
      <c r="C24" s="74">
        <f>MOD(C9-C17,360)</f>
        <v>161.36385144074666</v>
      </c>
      <c r="E24" s="74">
        <f>MOD(E9-E17,360)</f>
        <v>158.98906400955241</v>
      </c>
      <c r="G24" s="74">
        <f>MOD(G9-G17,360)</f>
        <v>161.79437406473238</v>
      </c>
      <c r="I24" s="74">
        <f>MOD(I9-I17,360)</f>
        <v>159.38801281468102</v>
      </c>
      <c r="K24" s="74">
        <f>MOD(K9-K17,360)</f>
        <v>159.57950255861698</v>
      </c>
      <c r="M24" s="74">
        <f>MOD(M9-M17,360)</f>
        <v>159.74674821262613</v>
      </c>
      <c r="O24" s="74">
        <f>MOD(O9-O17,360)</f>
        <v>271.838658039628</v>
      </c>
      <c r="Q24" s="74">
        <f>MOD(Q9-Q17,360)</f>
        <v>261.19943226583149</v>
      </c>
      <c r="S24" s="74"/>
      <c r="T24" s="74"/>
      <c r="V24" s="74"/>
      <c r="X24" s="74"/>
      <c r="Z24" s="74"/>
      <c r="AB24" s="74"/>
      <c r="AD24" s="74"/>
      <c r="AF24" s="74"/>
      <c r="AH24" s="74"/>
      <c r="AJ24" s="74"/>
      <c r="AL24" s="74"/>
      <c r="AN24" s="74"/>
      <c r="AO24" s="63"/>
      <c r="AP24" s="74"/>
      <c r="AR24" s="74"/>
      <c r="AS24" s="63"/>
      <c r="AT24" s="74"/>
      <c r="AV24" s="74"/>
      <c r="AX24" s="74"/>
    </row>
    <row r="25" spans="1:50" x14ac:dyDescent="0.3">
      <c r="A25" s="118" t="s">
        <v>36</v>
      </c>
      <c r="V25" s="63"/>
      <c r="X25" s="63"/>
      <c r="AB25" s="63"/>
      <c r="AF25" s="63"/>
      <c r="AJ25" s="63"/>
      <c r="AO25" s="63"/>
      <c r="AP25" s="63"/>
      <c r="AS25" s="63"/>
      <c r="AT25" s="63"/>
      <c r="AX25" s="63"/>
    </row>
    <row r="26" spans="1:50" x14ac:dyDescent="0.3">
      <c r="A26" s="118" t="s">
        <v>35</v>
      </c>
      <c r="C26" s="118">
        <f>C24-$C25</f>
        <v>161.36385144074666</v>
      </c>
      <c r="E26" s="118">
        <f>E24-$C25</f>
        <v>158.98906400955241</v>
      </c>
      <c r="G26" s="118">
        <f>G24-$C25</f>
        <v>161.79437406473238</v>
      </c>
      <c r="I26" s="118">
        <f>I24-$C25</f>
        <v>159.38801281468102</v>
      </c>
      <c r="K26" s="118">
        <f>K24-$C25</f>
        <v>159.57950255861698</v>
      </c>
      <c r="M26" s="118">
        <f>M24-$C25</f>
        <v>159.74674821262613</v>
      </c>
      <c r="O26" s="118">
        <f>O24-$C25</f>
        <v>271.838658039628</v>
      </c>
      <c r="Q26" s="118">
        <f>Q24-$C25</f>
        <v>261.19943226583149</v>
      </c>
      <c r="S26" s="118"/>
      <c r="X26" s="63"/>
      <c r="AB26" s="63"/>
      <c r="AF26" s="63"/>
      <c r="AJ26" s="63"/>
      <c r="AO26" s="63"/>
      <c r="AP26" s="63"/>
      <c r="AS26" s="63"/>
      <c r="AT26" s="63"/>
      <c r="AX26" s="63"/>
    </row>
    <row r="27" spans="1:50" x14ac:dyDescent="0.3">
      <c r="A27" s="118" t="s">
        <v>67</v>
      </c>
      <c r="C27" s="118">
        <f>SQRT(C16)</f>
        <v>2.1097393203900805</v>
      </c>
      <c r="E27" s="63">
        <f>SQRT(E16)</f>
        <v>8.4107941434472675</v>
      </c>
      <c r="G27" s="118">
        <f>SQRT(G16)</f>
        <v>2.1097393203900805</v>
      </c>
      <c r="I27" s="63">
        <f>SQRT(I16)</f>
        <v>8.4107941434472675</v>
      </c>
      <c r="K27" s="118">
        <f>SQRT(K16)</f>
        <v>1.4078352176302453</v>
      </c>
      <c r="M27" s="63">
        <f>SQRT(M16)</f>
        <v>8.5988225315653022</v>
      </c>
      <c r="O27" s="118">
        <f>SQRT(O16)</f>
        <v>1.4078352176302453</v>
      </c>
      <c r="Q27" s="63">
        <f>SQRT(Q16)</f>
        <v>8.5988225315653022</v>
      </c>
      <c r="V27" s="63"/>
      <c r="X27" s="63"/>
      <c r="AB27" s="63"/>
      <c r="AF27" s="63"/>
      <c r="AJ27" s="63"/>
      <c r="AO27" s="63"/>
      <c r="AP27" s="63"/>
      <c r="AS27" s="63"/>
      <c r="AT27" s="63"/>
      <c r="AX27" s="63"/>
    </row>
    <row r="28" spans="1:50" x14ac:dyDescent="0.3">
      <c r="A28" s="129" t="s">
        <v>68</v>
      </c>
      <c r="C28" s="118">
        <f>C27*C21</f>
        <v>0.23559301013757178</v>
      </c>
      <c r="E28" s="118">
        <f>E27*E21</f>
        <v>0.96095506740517067</v>
      </c>
      <c r="G28" s="118">
        <f>G27*G21</f>
        <v>0.22941763188458261</v>
      </c>
      <c r="I28" s="118">
        <f>I27*I21</f>
        <v>0.99269871132027243</v>
      </c>
      <c r="K28" s="118">
        <f>K27*K21</f>
        <v>0.15407810694550797</v>
      </c>
      <c r="M28" s="118">
        <f>M27*M21</f>
        <v>1.0632525184492883</v>
      </c>
      <c r="O28" s="118">
        <f>O27*O21</f>
        <v>0.14370927556455473</v>
      </c>
      <c r="Q28" s="118">
        <f>Q27*Q21</f>
        <v>0.99259001834998795</v>
      </c>
      <c r="S28" s="118"/>
      <c r="AO28" s="63"/>
      <c r="AS28" s="63"/>
    </row>
    <row r="29" spans="1:50" x14ac:dyDescent="0.3">
      <c r="A29" s="139" t="s">
        <v>69</v>
      </c>
      <c r="B29" s="118" t="s">
        <v>357</v>
      </c>
      <c r="C29" s="139">
        <f>SUM(B28:S28)/SUM(B27:S27)</f>
        <v>0.11624323782366688</v>
      </c>
      <c r="F29" s="118" t="s">
        <v>357</v>
      </c>
      <c r="G29" s="139">
        <f>SUM(F28:W28)/SUM(F27:W27)</f>
        <v>0.11710761610622793</v>
      </c>
      <c r="J29" s="118" t="s">
        <v>357</v>
      </c>
      <c r="K29" s="139">
        <f>SUM(J28:AA28)/SUM(J27:AA27)</f>
        <v>0.11760319870530955</v>
      </c>
      <c r="N29" s="118" t="s">
        <v>357</v>
      </c>
      <c r="O29" s="139">
        <f>SUM(N28:AE28)/SUM(N27:AE27)</f>
        <v>0.11355432776801942</v>
      </c>
      <c r="T29" s="139"/>
      <c r="V29" s="63"/>
      <c r="X29" s="63"/>
      <c r="Z29" s="139"/>
      <c r="AB29" s="63"/>
      <c r="AD29" s="139"/>
      <c r="AF29" s="63"/>
      <c r="AH29" s="139"/>
      <c r="AJ29" s="63"/>
      <c r="AL29" s="139"/>
      <c r="AN29" s="139"/>
      <c r="AO29" s="63"/>
      <c r="AP29" s="63"/>
      <c r="AR29" s="139"/>
      <c r="AS29" s="63"/>
      <c r="AT29" s="63"/>
      <c r="AV29" s="139"/>
      <c r="AX29" s="63"/>
    </row>
    <row r="30" spans="1:50" x14ac:dyDescent="0.3">
      <c r="A30" s="118" t="s">
        <v>72</v>
      </c>
      <c r="B30" s="118">
        <f>SQRT(SUMSQ(C30:I30)/SUM(C27:I27))</f>
        <v>2.1016603798027942E-3</v>
      </c>
      <c r="C30" s="139">
        <f>C21-$C$29</f>
        <v>-4.573986622522383E-3</v>
      </c>
      <c r="E30" s="139">
        <f>E21-$C29</f>
        <v>-1.9906415746150236E-3</v>
      </c>
      <c r="F30" s="118">
        <f>SQRT(SUMSQ(G30:M30)/SUM(G27:M27))</f>
        <v>2.933760033642058E-3</v>
      </c>
      <c r="G30" s="139">
        <f>G21-$C$29</f>
        <v>-7.5010677994743202E-3</v>
      </c>
      <c r="I30" s="139">
        <f>I21-$C29</f>
        <v>1.7835137992663896E-3</v>
      </c>
      <c r="J30" s="118">
        <f>SQRT(SUMSQ(K30:Q30)/SUM(K27:Q27))</f>
        <v>4.0144771591667612E-3</v>
      </c>
      <c r="K30" s="139">
        <f>K21-$C$29</f>
        <v>-6.7999556724633453E-3</v>
      </c>
      <c r="M30" s="139">
        <f>M21-$C29</f>
        <v>7.4077056102985067E-3</v>
      </c>
      <c r="N30" s="118">
        <f>SQRT(SUMSQ(O30:U30)/SUM(O27:U27))</f>
        <v>4.4852049334034834E-3</v>
      </c>
      <c r="O30" s="139">
        <f>O21-$C$29</f>
        <v>-1.4165044463470222E-2</v>
      </c>
      <c r="Q30" s="139">
        <f>Q21-$C29</f>
        <v>-8.0998929384752671E-4</v>
      </c>
      <c r="S30" s="139"/>
      <c r="T30" s="139"/>
      <c r="V30" s="139"/>
      <c r="X30" s="75"/>
      <c r="Z30" s="139"/>
      <c r="AB30" s="75"/>
      <c r="AD30" s="139"/>
      <c r="AF30" s="75"/>
      <c r="AH30" s="139"/>
      <c r="AJ30" s="75"/>
      <c r="AL30" s="139"/>
      <c r="AN30" s="139"/>
      <c r="AO30" s="63"/>
      <c r="AP30" s="75"/>
      <c r="AR30" s="139"/>
      <c r="AS30" s="63"/>
      <c r="AT30" s="75"/>
      <c r="AV30" s="139"/>
      <c r="AX30" s="75"/>
    </row>
    <row r="31" spans="1:50" x14ac:dyDescent="0.3">
      <c r="A31" s="129" t="s">
        <v>119</v>
      </c>
      <c r="C31" s="118">
        <f>C27*C24</f>
        <v>340.43566227412674</v>
      </c>
      <c r="E31" s="63">
        <f>E27*E24</f>
        <v>1337.2242884437062</v>
      </c>
      <c r="G31" s="118">
        <f>G27*G24</f>
        <v>341.34395278226697</v>
      </c>
      <c r="I31" s="63">
        <f>I27*I24</f>
        <v>1340.5797647174172</v>
      </c>
      <c r="K31" s="118">
        <f>K27*K24</f>
        <v>224.66164371393683</v>
      </c>
      <c r="M31" s="63">
        <f>M27*M24</f>
        <v>1373.6339378750188</v>
      </c>
      <c r="O31" s="118">
        <f>O27*O24</f>
        <v>382.70403630153351</v>
      </c>
      <c r="Q31" s="63">
        <f>Q27*Q24</f>
        <v>2246.007563399497</v>
      </c>
      <c r="V31" s="63"/>
      <c r="X31" s="63"/>
      <c r="AB31" s="63"/>
      <c r="AF31" s="63"/>
      <c r="AJ31" s="63"/>
      <c r="AO31" s="63"/>
      <c r="AP31" s="63"/>
      <c r="AS31" s="63"/>
      <c r="AT31" s="63"/>
      <c r="AX31" s="63"/>
    </row>
    <row r="32" spans="1:50" x14ac:dyDescent="0.3">
      <c r="A32" s="261" t="s">
        <v>120</v>
      </c>
      <c r="C32" s="139">
        <f>MOD(SUM(B31:M31)/SUM(B27:M27),360)</f>
        <v>159.68575157779486</v>
      </c>
      <c r="G32" s="139"/>
      <c r="K32" s="139"/>
      <c r="O32" s="139">
        <f>MOD(SUM(N31:Q31)/SUM(N27:Q27),360)</f>
        <v>262.69626338647959</v>
      </c>
      <c r="T32" s="139"/>
      <c r="V32" s="63"/>
      <c r="X32" s="139"/>
      <c r="AB32" s="139"/>
      <c r="AD32" s="139"/>
      <c r="AF32" s="139"/>
      <c r="AH32" s="139"/>
      <c r="AJ32" s="63"/>
      <c r="AL32" s="139"/>
      <c r="AN32" s="139"/>
      <c r="AO32" s="63"/>
      <c r="AP32" s="63"/>
      <c r="AR32" s="139"/>
      <c r="AS32" s="63"/>
      <c r="AT32" s="63"/>
      <c r="AV32" s="139"/>
      <c r="AX32" s="63"/>
    </row>
    <row r="33" spans="1:50" x14ac:dyDescent="0.3">
      <c r="A33" s="118" t="s">
        <v>121</v>
      </c>
      <c r="B33" s="118">
        <f>SQRT(SUMSQ(C33:I33)/SUM(C27:I27))</f>
        <v>1.8151624944483387</v>
      </c>
      <c r="C33" s="139">
        <f>C24-$C$32</f>
        <v>1.6780998629517967</v>
      </c>
      <c r="E33" s="139">
        <f>E24-$C$32</f>
        <v>-0.69668756824245293</v>
      </c>
      <c r="F33" s="118">
        <f>SQRT(SUMSQ(G33:M33)/SUM(G27:M27))</f>
        <v>7.8415617417360517</v>
      </c>
      <c r="G33" s="139">
        <f>G24-$C$32</f>
        <v>2.1086224869375201</v>
      </c>
      <c r="I33" s="139">
        <f>I24-$C$32</f>
        <v>-0.29773876311384129</v>
      </c>
      <c r="J33" s="118">
        <f>SQRT(SUMSQ(K33:Q33)/SUM(K27:Q27))</f>
        <v>35.463627843304842</v>
      </c>
      <c r="K33" s="139">
        <f>K24-$C$32</f>
        <v>-0.10624901917788065</v>
      </c>
      <c r="M33" s="139">
        <f>M24-$C$32</f>
        <v>6.0996634831269603E-2</v>
      </c>
      <c r="N33" s="118">
        <f>SQRT(SUMSQ(O33:U33)/SUM(O27:U27))</f>
        <v>47.820578000140991</v>
      </c>
      <c r="O33" s="139">
        <f>O24-$C$32</f>
        <v>112.15290646183314</v>
      </c>
      <c r="Q33" s="139">
        <f>Q24-$C$32</f>
        <v>101.51368068803663</v>
      </c>
      <c r="S33" s="139"/>
      <c r="T33" s="139"/>
      <c r="V33" s="139"/>
      <c r="X33" s="75"/>
      <c r="Z33" s="139"/>
      <c r="AB33" s="75"/>
      <c r="AD33" s="139"/>
      <c r="AF33" s="75"/>
      <c r="AH33" s="139"/>
      <c r="AJ33" s="75"/>
      <c r="AL33" s="139"/>
      <c r="AN33" s="139"/>
      <c r="AO33" s="63"/>
      <c r="AP33" s="75"/>
      <c r="AR33" s="139"/>
      <c r="AS33" s="63"/>
      <c r="AT33" s="75"/>
      <c r="AV33" s="139"/>
      <c r="AX33" s="75"/>
    </row>
    <row r="34" spans="1:50" s="164" customFormat="1" ht="75.75" customHeight="1" x14ac:dyDescent="0.3">
      <c r="A34" s="251" t="s">
        <v>40</v>
      </c>
      <c r="B34" s="384"/>
      <c r="C34" s="384"/>
      <c r="D34" s="65"/>
      <c r="E34" s="65"/>
      <c r="F34" s="384"/>
      <c r="G34" s="384"/>
      <c r="H34" s="65"/>
      <c r="I34" s="65"/>
      <c r="J34" s="384"/>
      <c r="K34" s="384"/>
      <c r="L34" s="65"/>
      <c r="M34" s="65"/>
      <c r="N34" s="384"/>
      <c r="O34" s="384"/>
      <c r="P34" s="65"/>
      <c r="Q34" s="65"/>
      <c r="R34" s="65"/>
      <c r="S34" s="65"/>
    </row>
    <row r="35" spans="1:50" s="127" customFormat="1" x14ac:dyDescent="0.3">
      <c r="A35" s="120" t="s">
        <v>54</v>
      </c>
      <c r="B35" s="120"/>
      <c r="C35" s="120"/>
      <c r="D35" s="67"/>
      <c r="E35" s="67"/>
      <c r="F35" s="120"/>
      <c r="G35" s="120"/>
      <c r="H35" s="67"/>
      <c r="I35" s="67"/>
      <c r="J35" s="120"/>
      <c r="K35" s="120"/>
      <c r="L35" s="67"/>
      <c r="M35" s="67"/>
      <c r="N35" s="120"/>
      <c r="O35" s="120"/>
      <c r="P35" s="67"/>
      <c r="Q35" s="67"/>
      <c r="R35" s="67"/>
      <c r="S35" s="67"/>
    </row>
    <row r="36" spans="1:50" x14ac:dyDescent="0.3">
      <c r="A36" s="139" t="s">
        <v>42</v>
      </c>
      <c r="C36" s="147">
        <f>C8*$C29</f>
        <v>4.6333135217426662</v>
      </c>
      <c r="D36" s="63" t="e">
        <f>A36*#REF!/A29</f>
        <v>#VALUE!</v>
      </c>
      <c r="E36" s="63" t="s">
        <v>358</v>
      </c>
      <c r="G36" s="147">
        <f>G8*$C29</f>
        <v>4.7580313271110217</v>
      </c>
      <c r="H36" s="63">
        <f>C36*B30/C29</f>
        <v>8.3769616522747517E-2</v>
      </c>
      <c r="I36" s="63" t="s">
        <v>358</v>
      </c>
      <c r="K36" s="147">
        <f>K8*$C29</f>
        <v>2.1051460888042648</v>
      </c>
      <c r="L36" s="63" t="e">
        <f>I36*#REF!/I29</f>
        <v>#VALUE!</v>
      </c>
      <c r="M36" s="63" t="s">
        <v>358</v>
      </c>
      <c r="O36" s="147">
        <f>O8*$C29</f>
        <v>2.2570354135631217</v>
      </c>
      <c r="P36" s="63">
        <f>K36*J30/K29</f>
        <v>7.1860808066884788E-2</v>
      </c>
      <c r="Q36" s="63" t="s">
        <v>358</v>
      </c>
      <c r="U36" s="63"/>
      <c r="V36" s="166"/>
      <c r="Z36" s="147"/>
      <c r="AD36" s="147"/>
      <c r="AH36" s="147"/>
      <c r="AL36" s="147"/>
      <c r="AN36" s="147"/>
      <c r="AR36" s="147"/>
      <c r="AV36" s="147"/>
    </row>
    <row r="37" spans="1:50" x14ac:dyDescent="0.3">
      <c r="A37" s="118" t="s">
        <v>50</v>
      </c>
      <c r="C37" s="141">
        <f>C36-C16</f>
        <v>0.18231352174266657</v>
      </c>
      <c r="G37" s="141">
        <f>G36-G16</f>
        <v>0.3070313271110221</v>
      </c>
      <c r="K37" s="141">
        <f>K36-K16</f>
        <v>0.12314608880426481</v>
      </c>
      <c r="O37" s="141">
        <f>O36-O16</f>
        <v>0.27503541356312167</v>
      </c>
      <c r="U37" s="63"/>
      <c r="V37" s="141"/>
      <c r="Z37" s="141"/>
      <c r="AD37" s="141"/>
      <c r="AH37" s="141"/>
      <c r="AL37" s="141"/>
      <c r="AN37" s="141"/>
      <c r="AR37" s="141"/>
      <c r="AV37" s="141"/>
    </row>
    <row r="38" spans="1:50" x14ac:dyDescent="0.3">
      <c r="A38" s="118" t="s">
        <v>51</v>
      </c>
      <c r="C38" s="142">
        <f>C37/C16</f>
        <v>4.0960126205946211E-2</v>
      </c>
      <c r="G38" s="142">
        <f>G37/G16</f>
        <v>6.8980302653565972E-2</v>
      </c>
      <c r="K38" s="142">
        <f>K37/K16</f>
        <v>6.2132234512747131E-2</v>
      </c>
      <c r="O38" s="142">
        <f>O37/O16</f>
        <v>0.13876660623770012</v>
      </c>
      <c r="U38" s="63"/>
      <c r="V38" s="142"/>
      <c r="Z38" s="142"/>
      <c r="AD38" s="142"/>
      <c r="AH38" s="142"/>
      <c r="AL38" s="142"/>
      <c r="AN38" s="142"/>
      <c r="AR38" s="142"/>
      <c r="AV38" s="142"/>
    </row>
    <row r="39" spans="1:50" x14ac:dyDescent="0.3">
      <c r="A39" s="74" t="s">
        <v>53</v>
      </c>
      <c r="B39" s="118">
        <f>AVERAGE(B37:C37)</f>
        <v>0.18231352174266657</v>
      </c>
      <c r="C39" s="142">
        <f>AVERAGE(C38:C38)</f>
        <v>4.0960126205946211E-2</v>
      </c>
      <c r="F39" s="118">
        <f>AVERAGE(F37:G37)</f>
        <v>0.3070313271110221</v>
      </c>
      <c r="G39" s="142">
        <f>AVERAGE(G38:G38)</f>
        <v>6.8980302653565972E-2</v>
      </c>
      <c r="J39" s="118">
        <f>AVERAGE(J37:K37)</f>
        <v>0.12314608880426481</v>
      </c>
      <c r="K39" s="142">
        <f>AVERAGE(K38:K38)</f>
        <v>6.2132234512747131E-2</v>
      </c>
      <c r="N39" s="118">
        <f>AVERAGE(N37:O37)</f>
        <v>0.27503541356312167</v>
      </c>
      <c r="O39" s="142">
        <f>AVERAGE(O38:O38)</f>
        <v>0.13876660623770012</v>
      </c>
      <c r="U39" s="63"/>
      <c r="V39" s="142"/>
      <c r="Z39" s="142"/>
      <c r="AD39" s="142"/>
      <c r="AH39" s="142"/>
      <c r="AL39" s="142"/>
      <c r="AN39" s="142"/>
      <c r="AR39" s="142"/>
      <c r="AV39" s="142"/>
    </row>
    <row r="40" spans="1:50" x14ac:dyDescent="0.3">
      <c r="A40" s="74" t="s">
        <v>52</v>
      </c>
      <c r="B40" s="118" t="e">
        <f>STDEV(B37:C37)</f>
        <v>#DIV/0!</v>
      </c>
      <c r="C40" s="142" t="e">
        <f>STDEV(C38:C38)</f>
        <v>#DIV/0!</v>
      </c>
      <c r="F40" s="118" t="e">
        <f>STDEV(F37:G37)</f>
        <v>#DIV/0!</v>
      </c>
      <c r="G40" s="142" t="e">
        <f>STDEV(G38:G38)</f>
        <v>#DIV/0!</v>
      </c>
      <c r="J40" s="118" t="e">
        <f>STDEV(J37:K37)</f>
        <v>#DIV/0!</v>
      </c>
      <c r="K40" s="142" t="e">
        <f>STDEV(K38:K38)</f>
        <v>#DIV/0!</v>
      </c>
      <c r="N40" s="118" t="e">
        <f>STDEV(N37:O37)</f>
        <v>#DIV/0!</v>
      </c>
      <c r="O40" s="142" t="e">
        <f>STDEV(O38:O38)</f>
        <v>#DIV/0!</v>
      </c>
      <c r="U40" s="63"/>
      <c r="V40" s="142"/>
      <c r="Z40" s="142"/>
      <c r="AD40" s="142"/>
      <c r="AH40" s="142"/>
      <c r="AL40" s="142"/>
      <c r="AN40" s="142"/>
      <c r="AR40" s="142"/>
      <c r="AV40" s="142"/>
    </row>
    <row r="41" spans="1:50" x14ac:dyDescent="0.3">
      <c r="C41" s="142"/>
      <c r="G41" s="142"/>
      <c r="K41" s="142"/>
      <c r="O41" s="142"/>
      <c r="U41" s="63"/>
      <c r="V41" s="142"/>
      <c r="Z41" s="142"/>
      <c r="AD41" s="142"/>
      <c r="AH41" s="142"/>
      <c r="AL41" s="142"/>
      <c r="AN41" s="142"/>
      <c r="AR41" s="142"/>
      <c r="AV41" s="142"/>
    </row>
    <row r="42" spans="1:50" x14ac:dyDescent="0.3">
      <c r="A42" s="139" t="s">
        <v>43</v>
      </c>
      <c r="C42" s="141">
        <f>MOD(C9-$C32,360)</f>
        <v>127.40809986295181</v>
      </c>
      <c r="D42" s="63" t="e">
        <f>#REF!</f>
        <v>#REF!</v>
      </c>
      <c r="E42" s="141" t="s">
        <v>358</v>
      </c>
      <c r="G42" s="141">
        <f>MOD(G9-$C32,360)</f>
        <v>127.83862248693754</v>
      </c>
      <c r="H42" s="63">
        <f>B33</f>
        <v>1.8151624944483387</v>
      </c>
      <c r="I42" s="141" t="s">
        <v>358</v>
      </c>
      <c r="K42" s="141">
        <f>MOD(K9-$C32,360)</f>
        <v>99.943750980822131</v>
      </c>
      <c r="L42" s="63" t="e">
        <f>#REF!</f>
        <v>#REF!</v>
      </c>
      <c r="M42" s="141" t="s">
        <v>358</v>
      </c>
      <c r="O42" s="141">
        <f>MOD(O9-$O32,360)</f>
        <v>109.19239465314843</v>
      </c>
      <c r="P42" s="63">
        <f>J33</f>
        <v>35.463627843304842</v>
      </c>
      <c r="Q42" s="141" t="s">
        <v>358</v>
      </c>
      <c r="S42" s="141"/>
      <c r="U42" s="63"/>
      <c r="V42" s="167"/>
      <c r="Z42" s="141"/>
      <c r="AD42" s="141"/>
      <c r="AH42" s="141"/>
      <c r="AL42" s="141"/>
      <c r="AN42" s="141"/>
      <c r="AR42" s="141"/>
      <c r="AV42" s="141"/>
    </row>
    <row r="43" spans="1:50" x14ac:dyDescent="0.3">
      <c r="A43" s="118" t="s">
        <v>55</v>
      </c>
      <c r="C43" s="141">
        <f>C42-C17</f>
        <v>1.6780998629518109</v>
      </c>
      <c r="E43" s="141"/>
      <c r="G43" s="141">
        <f>G42-G17</f>
        <v>2.1086224869375343</v>
      </c>
      <c r="I43" s="141"/>
      <c r="K43" s="141">
        <f>K42-K17</f>
        <v>-0.10624901917786644</v>
      </c>
      <c r="M43" s="141"/>
      <c r="O43" s="141">
        <f>O42-O17</f>
        <v>9.142394653148429</v>
      </c>
      <c r="Q43" s="141"/>
      <c r="S43" s="141"/>
      <c r="U43" s="63"/>
      <c r="V43" s="141"/>
      <c r="Z43" s="141"/>
      <c r="AD43" s="141"/>
      <c r="AH43" s="141"/>
      <c r="AL43" s="141"/>
      <c r="AN43" s="141"/>
      <c r="AR43" s="141"/>
      <c r="AV43" s="141"/>
    </row>
    <row r="44" spans="1:50" x14ac:dyDescent="0.3">
      <c r="A44" s="118" t="s">
        <v>56</v>
      </c>
      <c r="B44" s="118">
        <f>AVERAGE(B43:C43)</f>
        <v>1.6780998629518109</v>
      </c>
      <c r="C44" s="141"/>
      <c r="E44" s="101"/>
      <c r="F44" s="118">
        <f>AVERAGE(F43:G43)</f>
        <v>2.1086224869375343</v>
      </c>
      <c r="G44" s="141"/>
      <c r="I44" s="101"/>
      <c r="J44" s="118">
        <f>AVERAGE(J43:K43)</f>
        <v>-0.10624901917786644</v>
      </c>
      <c r="K44" s="141"/>
      <c r="M44" s="101"/>
      <c r="N44" s="118">
        <f>AVERAGE(N43:O43)</f>
        <v>9.142394653148429</v>
      </c>
      <c r="O44" s="141"/>
      <c r="Q44" s="101"/>
      <c r="S44" s="101"/>
      <c r="U44" s="63"/>
      <c r="V44" s="101"/>
      <c r="Z44" s="141"/>
      <c r="AD44" s="141"/>
      <c r="AH44" s="141"/>
      <c r="AL44" s="141"/>
      <c r="AN44" s="141"/>
      <c r="AR44" s="141"/>
      <c r="AV44" s="141"/>
    </row>
    <row r="45" spans="1:50" x14ac:dyDescent="0.3">
      <c r="A45" s="118" t="s">
        <v>57</v>
      </c>
      <c r="B45" s="118" t="e">
        <f>STDEV(B43:C43)</f>
        <v>#DIV/0!</v>
      </c>
      <c r="C45" s="141"/>
      <c r="F45" s="118" t="e">
        <f>STDEV(F43:G43)</f>
        <v>#DIV/0!</v>
      </c>
      <c r="G45" s="141"/>
      <c r="J45" s="118" t="e">
        <f>STDEV(J43:K43)</f>
        <v>#DIV/0!</v>
      </c>
      <c r="K45" s="141"/>
      <c r="N45" s="118" t="e">
        <f>STDEV(N43:O43)</f>
        <v>#DIV/0!</v>
      </c>
      <c r="O45" s="141"/>
      <c r="U45" s="63"/>
      <c r="V45" s="63"/>
      <c r="Z45" s="141"/>
      <c r="AD45" s="141"/>
      <c r="AH45" s="141"/>
      <c r="AL45" s="141"/>
      <c r="AN45" s="141"/>
      <c r="AR45" s="141"/>
      <c r="AV45" s="141"/>
    </row>
    <row r="46" spans="1:50" x14ac:dyDescent="0.3">
      <c r="C46" s="141"/>
      <c r="G46" s="141"/>
      <c r="K46" s="141"/>
      <c r="O46" s="141"/>
      <c r="U46" s="63"/>
      <c r="V46" s="63"/>
      <c r="Z46" s="141"/>
      <c r="AD46" s="141"/>
      <c r="AH46" s="141"/>
      <c r="AL46" s="141"/>
      <c r="AN46" s="141"/>
      <c r="AR46" s="141"/>
      <c r="AV46" s="141"/>
    </row>
    <row r="47" spans="1:50" x14ac:dyDescent="0.3">
      <c r="A47" s="118" t="s">
        <v>44</v>
      </c>
      <c r="B47" s="72">
        <f>-C36*SIN((C42)/180*PI())</f>
        <v>-3.6803741302712276</v>
      </c>
      <c r="C47" s="72">
        <f>C36*COS((C42)/180*PI())</f>
        <v>-2.8146830109256946</v>
      </c>
      <c r="F47" s="72">
        <f>-G36*SIN((G42)/180*PI())</f>
        <v>-3.757615647282408</v>
      </c>
      <c r="G47" s="72">
        <f>G36*COS((G42)/180*PI())</f>
        <v>-2.9187645943221052</v>
      </c>
      <c r="J47" s="72">
        <f>-K36*SIN((K42)/180*PI())</f>
        <v>-2.0735220666778891</v>
      </c>
      <c r="K47" s="72">
        <f>K36*COS((K42)/180*PI())</f>
        <v>-0.36351931751662037</v>
      </c>
      <c r="N47" s="72">
        <f>-O36*SIN((O42)/180*PI())</f>
        <v>-2.1315894194296336</v>
      </c>
      <c r="O47" s="72">
        <f>O36*COS((O42)/180*PI())</f>
        <v>-0.74198073091805372</v>
      </c>
      <c r="U47" s="72"/>
      <c r="V47" s="72"/>
      <c r="Y47" s="72"/>
      <c r="Z47" s="72"/>
      <c r="AC47" s="72"/>
      <c r="AD47" s="72"/>
      <c r="AG47" s="72"/>
      <c r="AH47" s="72"/>
      <c r="AK47" s="72"/>
      <c r="AL47" s="72"/>
      <c r="AM47" s="72"/>
      <c r="AN47" s="72"/>
      <c r="AQ47" s="72"/>
      <c r="AR47" s="72"/>
      <c r="AU47" s="72"/>
      <c r="AV47" s="72"/>
    </row>
    <row r="48" spans="1:50" s="129" customFormat="1" x14ac:dyDescent="0.3">
      <c r="A48" s="118" t="s">
        <v>45</v>
      </c>
      <c r="B48" s="72">
        <f>B47-B18</f>
        <v>-6.7150812548251615E-2</v>
      </c>
      <c r="C48" s="72">
        <f>C47-C18</f>
        <v>-0.21544884366354422</v>
      </c>
      <c r="D48" s="63"/>
      <c r="E48" s="63"/>
      <c r="F48" s="72">
        <f>F47-F18</f>
        <v>-0.14439232955943204</v>
      </c>
      <c r="G48" s="72">
        <f>G47-G18</f>
        <v>-0.31953042705995482</v>
      </c>
      <c r="H48" s="63"/>
      <c r="I48" s="63"/>
      <c r="J48" s="72">
        <f>J47-J18</f>
        <v>-0.12193418897859165</v>
      </c>
      <c r="K48" s="72">
        <f>K47-K18</f>
        <v>-1.7645416192522467E-2</v>
      </c>
      <c r="L48" s="63"/>
      <c r="M48" s="63"/>
      <c r="N48" s="72">
        <f>N47-N18</f>
        <v>-0.18000154173033622</v>
      </c>
      <c r="O48" s="72">
        <f>O47-O18</f>
        <v>-0.39610682959395582</v>
      </c>
      <c r="P48" s="63"/>
      <c r="Q48" s="63"/>
      <c r="R48" s="63"/>
      <c r="S48" s="63"/>
      <c r="U48" s="72"/>
      <c r="V48" s="72"/>
      <c r="Y48" s="72"/>
      <c r="Z48" s="72"/>
      <c r="AC48" s="72"/>
      <c r="AD48" s="72"/>
      <c r="AG48" s="72"/>
      <c r="AH48" s="72"/>
      <c r="AK48" s="72"/>
      <c r="AL48" s="72"/>
      <c r="AM48" s="72"/>
      <c r="AN48" s="72"/>
      <c r="AQ48" s="72"/>
      <c r="AR48" s="72"/>
      <c r="AU48" s="72"/>
      <c r="AV48" s="72"/>
    </row>
    <row r="49" spans="1:48" x14ac:dyDescent="0.3">
      <c r="A49" s="118" t="s">
        <v>46</v>
      </c>
      <c r="B49" s="118">
        <f>B48^2</f>
        <v>4.5092316258904261E-3</v>
      </c>
      <c r="C49" s="118">
        <f>C48^2</f>
        <v>4.641820423595832E-2</v>
      </c>
      <c r="F49" s="118">
        <f>F48^2</f>
        <v>2.0849144835599631E-2</v>
      </c>
      <c r="G49" s="118">
        <f>G48^2</f>
        <v>0.10209969381711712</v>
      </c>
      <c r="J49" s="118">
        <f>J48^2</f>
        <v>1.4867946441866902E-2</v>
      </c>
      <c r="K49" s="118">
        <f>K48^2</f>
        <v>3.1136071260733409E-4</v>
      </c>
      <c r="N49" s="118">
        <f>N48^2</f>
        <v>3.240055502529797E-2</v>
      </c>
      <c r="O49" s="118">
        <f>O48^2</f>
        <v>0.15690062045097516</v>
      </c>
    </row>
    <row r="50" spans="1:48" s="129" customFormat="1" x14ac:dyDescent="0.3">
      <c r="A50" s="118" t="s">
        <v>47</v>
      </c>
      <c r="B50" s="72"/>
      <c r="C50" s="72">
        <f>SQRT(B49+C49)</f>
        <v>0.22567107892206467</v>
      </c>
      <c r="D50" s="63"/>
      <c r="E50" s="63"/>
      <c r="F50" s="72"/>
      <c r="G50" s="72">
        <f>SQRT(F49+G49)</f>
        <v>0.35064061181317369</v>
      </c>
      <c r="H50" s="63"/>
      <c r="I50" s="63"/>
      <c r="J50" s="72"/>
      <c r="K50" s="72">
        <f>SQRT(J49+K49)</f>
        <v>0.12320433090794429</v>
      </c>
      <c r="L50" s="63"/>
      <c r="M50" s="63"/>
      <c r="N50" s="72"/>
      <c r="O50" s="72">
        <f>SQRT(N49+O49)</f>
        <v>0.43508754920851633</v>
      </c>
      <c r="P50" s="63"/>
      <c r="Q50" s="63"/>
      <c r="R50" s="63"/>
      <c r="S50" s="63"/>
      <c r="U50" s="72"/>
      <c r="V50" s="72"/>
      <c r="Y50" s="72"/>
      <c r="Z50" s="72"/>
      <c r="AC50" s="72"/>
      <c r="AD50" s="72"/>
      <c r="AG50" s="72"/>
      <c r="AH50" s="72"/>
      <c r="AK50" s="72"/>
      <c r="AL50" s="72"/>
      <c r="AM50" s="72"/>
      <c r="AN50" s="72"/>
      <c r="AQ50" s="72"/>
      <c r="AR50" s="72"/>
      <c r="AU50" s="72"/>
      <c r="AV50" s="72"/>
    </row>
    <row r="51" spans="1:48" s="129" customFormat="1" x14ac:dyDescent="0.3">
      <c r="A51" s="118" t="s">
        <v>48</v>
      </c>
      <c r="B51" s="72"/>
      <c r="C51" s="77">
        <f>C50/C36</f>
        <v>4.8706196518552458E-2</v>
      </c>
      <c r="D51" s="63"/>
      <c r="E51" s="63"/>
      <c r="F51" s="72"/>
      <c r="G51" s="77">
        <f>G50/G36</f>
        <v>7.3694473135399771E-2</v>
      </c>
      <c r="H51" s="63"/>
      <c r="I51" s="63"/>
      <c r="J51" s="72"/>
      <c r="K51" s="77">
        <f>K50/K36</f>
        <v>5.8525311646150442E-2</v>
      </c>
      <c r="L51" s="63"/>
      <c r="M51" s="63"/>
      <c r="N51" s="72"/>
      <c r="O51" s="77">
        <f>O50/O36</f>
        <v>0.19276948274447109</v>
      </c>
      <c r="P51" s="63"/>
      <c r="Q51" s="63"/>
      <c r="R51" s="63"/>
      <c r="S51" s="63"/>
      <c r="U51" s="72"/>
      <c r="V51" s="77"/>
      <c r="Y51" s="72"/>
      <c r="Z51" s="77"/>
      <c r="AC51" s="72"/>
      <c r="AD51" s="77"/>
      <c r="AG51" s="72"/>
      <c r="AH51" s="77"/>
      <c r="AK51" s="72"/>
      <c r="AL51" s="77"/>
      <c r="AM51" s="72"/>
      <c r="AN51" s="77"/>
      <c r="AQ51" s="72"/>
      <c r="AR51" s="77"/>
      <c r="AU51" s="72"/>
      <c r="AV51" s="77"/>
    </row>
    <row r="52" spans="1:48" s="129" customFormat="1" x14ac:dyDescent="0.3">
      <c r="A52" s="118"/>
      <c r="B52" s="72"/>
      <c r="C52" s="144"/>
      <c r="D52" s="63"/>
      <c r="E52" s="63"/>
      <c r="F52" s="72"/>
      <c r="G52" s="144"/>
      <c r="H52" s="63"/>
      <c r="I52" s="63"/>
      <c r="J52" s="72"/>
      <c r="K52" s="144"/>
      <c r="L52" s="63"/>
      <c r="M52" s="63"/>
      <c r="N52" s="72"/>
      <c r="O52" s="144"/>
      <c r="P52" s="63"/>
      <c r="Q52" s="63"/>
      <c r="R52" s="63"/>
      <c r="S52" s="63"/>
      <c r="Y52" s="72"/>
      <c r="Z52" s="144"/>
      <c r="AC52" s="72"/>
      <c r="AD52" s="144"/>
      <c r="AG52" s="72"/>
      <c r="AH52" s="144"/>
      <c r="AK52" s="72"/>
      <c r="AL52" s="144"/>
      <c r="AM52" s="72"/>
      <c r="AN52" s="144"/>
      <c r="AQ52" s="72"/>
      <c r="AR52" s="144"/>
      <c r="AU52" s="72"/>
      <c r="AV52" s="144"/>
    </row>
    <row r="53" spans="1:48" s="129" customFormat="1" x14ac:dyDescent="0.3">
      <c r="A53" s="118" t="s">
        <v>89</v>
      </c>
      <c r="B53" s="72">
        <f>MEDIAN(B50:C50)</f>
        <v>0.22567107892206467</v>
      </c>
      <c r="C53" s="144"/>
      <c r="D53" s="63"/>
      <c r="E53" s="63"/>
      <c r="F53" s="72">
        <f>MEDIAN(F50:G50)</f>
        <v>0.35064061181317369</v>
      </c>
      <c r="G53" s="144"/>
      <c r="H53" s="63"/>
      <c r="I53" s="63"/>
      <c r="J53" s="72">
        <f>MEDIAN(J50:K50)</f>
        <v>0.12320433090794429</v>
      </c>
      <c r="K53" s="144"/>
      <c r="L53" s="63"/>
      <c r="M53" s="63"/>
      <c r="N53" s="72">
        <f>MEDIAN(N50:O50)</f>
        <v>0.43508754920851633</v>
      </c>
      <c r="O53" s="144"/>
      <c r="P53" s="63"/>
      <c r="Q53" s="63"/>
      <c r="R53" s="63"/>
      <c r="S53" s="63"/>
      <c r="Y53" s="72"/>
      <c r="Z53" s="144"/>
      <c r="AC53" s="72"/>
      <c r="AD53" s="144"/>
      <c r="AG53" s="72"/>
      <c r="AH53" s="144"/>
      <c r="AK53" s="72"/>
      <c r="AL53" s="144"/>
      <c r="AM53" s="72"/>
      <c r="AN53" s="144"/>
      <c r="AQ53" s="72"/>
      <c r="AR53" s="144"/>
      <c r="AU53" s="72"/>
      <c r="AV53" s="144"/>
    </row>
    <row r="54" spans="1:48" s="129" customFormat="1" x14ac:dyDescent="0.3">
      <c r="A54" s="118" t="s">
        <v>81</v>
      </c>
      <c r="B54" s="72">
        <f>AVERAGE(B50:C50)</f>
        <v>0.22567107892206467</v>
      </c>
      <c r="C54" s="144"/>
      <c r="D54" s="63"/>
      <c r="E54" s="63"/>
      <c r="F54" s="72">
        <f>AVERAGE(F50:G50)</f>
        <v>0.35064061181317369</v>
      </c>
      <c r="G54" s="144"/>
      <c r="H54" s="63"/>
      <c r="I54" s="63"/>
      <c r="J54" s="72">
        <f>AVERAGE(J50:K50)</f>
        <v>0.12320433090794429</v>
      </c>
      <c r="K54" s="144"/>
      <c r="L54" s="63"/>
      <c r="M54" s="63"/>
      <c r="N54" s="72">
        <f>AVERAGE(N50:O50)</f>
        <v>0.43508754920851633</v>
      </c>
      <c r="O54" s="144"/>
      <c r="P54" s="63"/>
      <c r="Q54" s="63"/>
      <c r="R54" s="63"/>
      <c r="S54" s="63"/>
      <c r="Y54" s="72"/>
      <c r="Z54" s="144"/>
      <c r="AC54" s="72"/>
      <c r="AD54" s="144"/>
      <c r="AG54" s="72"/>
      <c r="AH54" s="144"/>
      <c r="AK54" s="72"/>
      <c r="AL54" s="144"/>
      <c r="AM54" s="72"/>
      <c r="AN54" s="144"/>
      <c r="AQ54" s="72"/>
      <c r="AR54" s="144"/>
      <c r="AU54" s="72"/>
      <c r="AV54" s="144"/>
    </row>
    <row r="55" spans="1:48" s="129" customFormat="1" x14ac:dyDescent="0.3">
      <c r="A55" s="118" t="s">
        <v>82</v>
      </c>
      <c r="B55" s="72" t="e">
        <f>STDEV(B50:C50)</f>
        <v>#DIV/0!</v>
      </c>
      <c r="C55" s="144"/>
      <c r="D55" s="63"/>
      <c r="E55" s="63"/>
      <c r="F55" s="72" t="e">
        <f>STDEV(F50:G50)</f>
        <v>#DIV/0!</v>
      </c>
      <c r="G55" s="144"/>
      <c r="H55" s="63"/>
      <c r="I55" s="63"/>
      <c r="J55" s="72" t="e">
        <f>STDEV(J50:K50)</f>
        <v>#DIV/0!</v>
      </c>
      <c r="K55" s="144"/>
      <c r="L55" s="63"/>
      <c r="M55" s="63"/>
      <c r="N55" s="72" t="e">
        <f>STDEV(N50:O50)</f>
        <v>#DIV/0!</v>
      </c>
      <c r="O55" s="144"/>
      <c r="P55" s="63"/>
      <c r="Q55" s="63"/>
      <c r="R55" s="63"/>
      <c r="S55" s="63"/>
      <c r="Y55" s="72"/>
      <c r="Z55" s="144"/>
      <c r="AC55" s="72"/>
      <c r="AD55" s="144"/>
      <c r="AG55" s="72"/>
      <c r="AH55" s="144"/>
      <c r="AK55" s="72"/>
      <c r="AL55" s="144"/>
      <c r="AM55" s="72"/>
      <c r="AN55" s="144"/>
      <c r="AQ55" s="72"/>
      <c r="AR55" s="144"/>
      <c r="AU55" s="72"/>
      <c r="AV55" s="144"/>
    </row>
    <row r="56" spans="1:48" s="129" customFormat="1" x14ac:dyDescent="0.3">
      <c r="A56" s="118" t="s">
        <v>83</v>
      </c>
      <c r="B56" s="72"/>
      <c r="C56" s="144"/>
      <c r="D56" s="63"/>
      <c r="E56" s="63"/>
      <c r="F56" s="72"/>
      <c r="G56" s="144"/>
      <c r="H56" s="63"/>
      <c r="I56" s="63"/>
      <c r="J56" s="72"/>
      <c r="K56" s="144"/>
      <c r="L56" s="63"/>
      <c r="M56" s="63"/>
      <c r="N56" s="72"/>
      <c r="O56" s="144"/>
      <c r="P56" s="63"/>
      <c r="Q56" s="63"/>
      <c r="R56" s="63"/>
      <c r="S56" s="63"/>
      <c r="Y56" s="72"/>
      <c r="Z56" s="144"/>
      <c r="AC56" s="72"/>
      <c r="AD56" s="144"/>
      <c r="AG56" s="72"/>
      <c r="AH56" s="144"/>
      <c r="AK56" s="72"/>
      <c r="AL56" s="144"/>
      <c r="AM56" s="72"/>
      <c r="AN56" s="144"/>
      <c r="AQ56" s="72"/>
      <c r="AR56" s="144"/>
      <c r="AU56" s="72"/>
      <c r="AV56" s="144"/>
    </row>
    <row r="57" spans="1:48" s="129" customFormat="1" x14ac:dyDescent="0.3">
      <c r="A57" s="118"/>
      <c r="B57" s="72"/>
      <c r="C57" s="72"/>
      <c r="D57" s="63"/>
      <c r="E57" s="63"/>
      <c r="F57" s="72"/>
      <c r="G57" s="72"/>
      <c r="H57" s="63"/>
      <c r="I57" s="63"/>
      <c r="J57" s="72"/>
      <c r="K57" s="72"/>
      <c r="L57" s="63"/>
      <c r="M57" s="63"/>
      <c r="N57" s="72"/>
      <c r="O57" s="72"/>
      <c r="P57" s="63"/>
      <c r="Q57" s="63"/>
      <c r="R57" s="63"/>
      <c r="S57" s="63"/>
      <c r="Y57" s="72"/>
      <c r="Z57" s="72"/>
      <c r="AC57" s="72"/>
      <c r="AD57" s="72"/>
      <c r="AG57" s="72"/>
      <c r="AH57" s="72"/>
      <c r="AK57" s="72"/>
      <c r="AL57" s="72"/>
      <c r="AM57" s="72"/>
      <c r="AN57" s="72"/>
      <c r="AQ57" s="72"/>
      <c r="AR57" s="72"/>
      <c r="AU57" s="72"/>
      <c r="AV57" s="72"/>
    </row>
    <row r="58" spans="1:48" s="129" customFormat="1" x14ac:dyDescent="0.3">
      <c r="B58" s="139"/>
      <c r="C58" s="139"/>
      <c r="D58" s="63"/>
      <c r="E58" s="63"/>
      <c r="F58" s="139"/>
      <c r="G58" s="139"/>
      <c r="H58" s="63"/>
      <c r="I58" s="63"/>
      <c r="J58" s="139"/>
      <c r="K58" s="139"/>
      <c r="L58" s="63"/>
      <c r="M58" s="63"/>
      <c r="N58" s="139"/>
      <c r="O58" s="139"/>
      <c r="P58" s="63"/>
      <c r="Q58" s="63"/>
      <c r="R58" s="63"/>
      <c r="S58" s="63"/>
      <c r="Y58" s="139"/>
      <c r="Z58" s="139"/>
      <c r="AC58" s="139"/>
      <c r="AD58" s="139"/>
      <c r="AG58" s="139"/>
      <c r="AH58" s="139"/>
      <c r="AK58" s="139"/>
      <c r="AL58" s="139"/>
      <c r="AM58" s="139"/>
      <c r="AN58" s="139"/>
      <c r="AQ58" s="139"/>
      <c r="AR58" s="139"/>
      <c r="AU58" s="139"/>
      <c r="AV58" s="139"/>
    </row>
    <row r="59" spans="1:48" x14ac:dyDescent="0.3">
      <c r="A59" s="139" t="s">
        <v>115</v>
      </c>
      <c r="B59" s="166">
        <f>AVERAGE(C36,G36)</f>
        <v>4.695672424426844</v>
      </c>
      <c r="C59" s="141">
        <f>AVERAGE(C37:G37)</f>
        <v>0.24467242442684434</v>
      </c>
      <c r="D59" s="302">
        <f>AVERAGE(C38:G38)</f>
        <v>5.4970214429756095E-2</v>
      </c>
      <c r="F59" s="166"/>
      <c r="G59" s="141">
        <f>AVERAGE(G37:U37)</f>
        <v>0.23507094315946953</v>
      </c>
      <c r="J59" s="166">
        <f>AVERAGE(K36,O36)</f>
        <v>2.1810907511836932</v>
      </c>
      <c r="K59" s="141">
        <f>AVERAGE(K37:O37)</f>
        <v>0.19909075118369324</v>
      </c>
      <c r="L59" s="302">
        <f>AVERAGE(K38:O38)</f>
        <v>0.10044942037522363</v>
      </c>
      <c r="N59" s="166"/>
      <c r="O59" s="141">
        <f>AVERAGE(O37:AC37)</f>
        <v>0.27503541356312167</v>
      </c>
      <c r="Y59" s="166"/>
      <c r="AC59" s="166"/>
      <c r="AG59" s="166"/>
      <c r="AK59" s="166"/>
      <c r="AM59" s="166"/>
      <c r="AQ59" s="166"/>
      <c r="AU59" s="166"/>
    </row>
    <row r="60" spans="1:48" x14ac:dyDescent="0.3">
      <c r="A60" s="129" t="s">
        <v>116</v>
      </c>
      <c r="B60" s="166">
        <f>STDEV(C36,G36)</f>
        <v>8.8188805910668189E-2</v>
      </c>
      <c r="C60" s="118" t="e">
        <f>STDEV(C37:E37)</f>
        <v>#DIV/0!</v>
      </c>
      <c r="D60" s="118" t="e">
        <f>STDEV(C38:E38)</f>
        <v>#DIV/0!</v>
      </c>
      <c r="F60" s="166"/>
      <c r="G60" s="118">
        <f>STDEV(G37:U37)</f>
        <v>9.8241103351736234E-2</v>
      </c>
      <c r="J60" s="166">
        <f>STDEV(K36,O36)</f>
        <v>0.10740197152683345</v>
      </c>
      <c r="K60" s="118" t="e">
        <f>STDEV(K37:M37)</f>
        <v>#DIV/0!</v>
      </c>
      <c r="L60" s="118" t="e">
        <f>STDEV(K38:M38)</f>
        <v>#DIV/0!</v>
      </c>
      <c r="N60" s="166"/>
      <c r="O60" s="118" t="e">
        <f>STDEV(O37:AC37)</f>
        <v>#DIV/0!</v>
      </c>
      <c r="Y60" s="166"/>
      <c r="AC60" s="166"/>
      <c r="AG60" s="166"/>
      <c r="AK60" s="166"/>
      <c r="AM60" s="166"/>
      <c r="AQ60" s="166"/>
      <c r="AU60" s="166"/>
    </row>
    <row r="61" spans="1:48" x14ac:dyDescent="0.3">
      <c r="A61" s="129" t="s">
        <v>117</v>
      </c>
      <c r="B61" s="166">
        <f>AVERAGE(C42,G42)</f>
        <v>127.62336117494468</v>
      </c>
      <c r="D61" s="118"/>
      <c r="F61" s="166"/>
      <c r="J61" s="166">
        <f>AVERAGE(K42,O42)</f>
        <v>104.56807281698528</v>
      </c>
      <c r="L61" s="118"/>
      <c r="N61" s="166"/>
      <c r="Y61" s="166"/>
      <c r="AC61" s="166"/>
      <c r="AG61" s="166"/>
      <c r="AK61" s="166"/>
      <c r="AM61" s="166"/>
      <c r="AQ61" s="166"/>
      <c r="AU61" s="166"/>
    </row>
    <row r="62" spans="1:48" x14ac:dyDescent="0.3">
      <c r="A62" s="129" t="s">
        <v>118</v>
      </c>
      <c r="B62" s="166">
        <f>STDEV(C42,G42)</f>
        <v>0.3044254668745312</v>
      </c>
      <c r="D62" s="118"/>
      <c r="F62" s="166"/>
      <c r="J62" s="166">
        <f>STDEV(K42,O42)</f>
        <v>6.5397786574799772</v>
      </c>
      <c r="L62" s="118"/>
      <c r="N62" s="166"/>
      <c r="Y62" s="166"/>
      <c r="AC62" s="166"/>
      <c r="AG62" s="166"/>
      <c r="AK62" s="166"/>
      <c r="AM62" s="166"/>
      <c r="AQ62" s="166"/>
      <c r="AU62" s="166"/>
    </row>
  </sheetData>
  <mergeCells count="19">
    <mergeCell ref="B34:C34"/>
    <mergeCell ref="J34:K34"/>
    <mergeCell ref="N34:O34"/>
    <mergeCell ref="F10:G10"/>
    <mergeCell ref="B10:C10"/>
    <mergeCell ref="D10:E10"/>
    <mergeCell ref="H10:I10"/>
    <mergeCell ref="F19:G19"/>
    <mergeCell ref="F34:G34"/>
    <mergeCell ref="J19:K19"/>
    <mergeCell ref="N19:O19"/>
    <mergeCell ref="J10:K10"/>
    <mergeCell ref="L10:M10"/>
    <mergeCell ref="N10:O10"/>
    <mergeCell ref="AQ10:AR10"/>
    <mergeCell ref="AU10:AV10"/>
    <mergeCell ref="P10:Q10"/>
    <mergeCell ref="R10:S10"/>
    <mergeCell ref="B19:C19"/>
  </mergeCells>
  <pageMargins left="0.7" right="0.7" top="0.75" bottom="0.75" header="0.3" footer="0.3"/>
  <pageSetup scale="24"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2"/>
  <sheetViews>
    <sheetView zoomScale="85" zoomScaleNormal="85" workbookViewId="0">
      <pane xSplit="1" ySplit="2" topLeftCell="H3" activePane="bottomRight" state="frozenSplit"/>
      <selection pane="topRight"/>
      <selection pane="bottomLeft" activeCell="A3" sqref="A3"/>
      <selection pane="bottomRight" activeCell="M16" sqref="M16:M17"/>
    </sheetView>
  </sheetViews>
  <sheetFormatPr defaultColWidth="9.109375" defaultRowHeight="14.4" x14ac:dyDescent="0.3"/>
  <cols>
    <col min="1" max="1" width="28" style="118" customWidth="1"/>
    <col min="2" max="25" width="11.6640625" style="118" customWidth="1"/>
    <col min="26" max="16384" width="9.109375" style="118"/>
  </cols>
  <sheetData>
    <row r="1" spans="1:36" s="127" customFormat="1" x14ac:dyDescent="0.3">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row>
    <row r="2" spans="1:36" s="249" customFormat="1" x14ac:dyDescent="0.3">
      <c r="B2" s="116"/>
      <c r="C2" s="116" t="s">
        <v>379</v>
      </c>
      <c r="E2" s="116" t="s">
        <v>378</v>
      </c>
      <c r="F2" s="116"/>
      <c r="G2" s="116" t="s">
        <v>380</v>
      </c>
      <c r="I2" s="116" t="s">
        <v>381</v>
      </c>
      <c r="J2" s="116"/>
      <c r="K2" s="116" t="s">
        <v>385</v>
      </c>
      <c r="M2" s="116" t="s">
        <v>112</v>
      </c>
      <c r="N2" s="116"/>
      <c r="O2" s="116" t="s">
        <v>384</v>
      </c>
      <c r="Q2" s="116" t="s">
        <v>383</v>
      </c>
      <c r="R2" s="116"/>
      <c r="S2" s="116" t="s">
        <v>386</v>
      </c>
      <c r="U2" s="116" t="s">
        <v>387</v>
      </c>
      <c r="V2" s="116"/>
      <c r="W2" s="116" t="s">
        <v>388</v>
      </c>
      <c r="Y2" s="116" t="s">
        <v>389</v>
      </c>
      <c r="Z2" s="116"/>
      <c r="AA2" s="116"/>
      <c r="AB2" s="61"/>
      <c r="AC2" s="61"/>
      <c r="AD2" s="116"/>
      <c r="AE2" s="116"/>
      <c r="AF2" s="61"/>
      <c r="AG2" s="61"/>
      <c r="AH2" s="116"/>
      <c r="AI2" s="116"/>
      <c r="AJ2" s="61"/>
    </row>
    <row r="3" spans="1:36" s="249" customFormat="1" x14ac:dyDescent="0.3">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61"/>
      <c r="U3" s="61"/>
      <c r="V3" s="116" t="s">
        <v>61</v>
      </c>
      <c r="W3" s="116" t="s">
        <v>60</v>
      </c>
      <c r="X3" s="61"/>
      <c r="Y3" s="61"/>
    </row>
    <row r="4" spans="1:36" x14ac:dyDescent="0.3">
      <c r="A4" s="118" t="s">
        <v>1</v>
      </c>
      <c r="B4" s="118">
        <v>647</v>
      </c>
      <c r="C4" s="118">
        <v>397</v>
      </c>
      <c r="D4" s="63">
        <v>1010</v>
      </c>
      <c r="E4" s="63">
        <v>465</v>
      </c>
      <c r="F4" s="118">
        <v>618</v>
      </c>
      <c r="G4" s="118">
        <v>586</v>
      </c>
      <c r="H4" s="63">
        <v>600</v>
      </c>
      <c r="I4" s="63">
        <v>655</v>
      </c>
      <c r="J4" s="118">
        <v>814</v>
      </c>
      <c r="K4" s="118">
        <v>550</v>
      </c>
      <c r="L4" s="63">
        <v>849</v>
      </c>
      <c r="M4" s="63">
        <v>688</v>
      </c>
      <c r="N4" s="118">
        <v>696</v>
      </c>
      <c r="O4" s="118">
        <v>426</v>
      </c>
      <c r="P4" s="63">
        <v>1160</v>
      </c>
      <c r="Q4" s="63">
        <v>358</v>
      </c>
      <c r="R4" s="118">
        <v>395.37700000000001</v>
      </c>
      <c r="S4" s="118">
        <f>960-278.022</f>
        <v>681.97800000000007</v>
      </c>
      <c r="T4" s="63">
        <v>1057</v>
      </c>
      <c r="U4" s="63">
        <v>541</v>
      </c>
      <c r="V4" s="118">
        <v>834.76900000000001</v>
      </c>
      <c r="W4" s="118">
        <f>960-400.06</f>
        <v>559.94000000000005</v>
      </c>
      <c r="X4" s="63">
        <v>1032</v>
      </c>
      <c r="Y4" s="63">
        <v>506</v>
      </c>
      <c r="AA4" s="63"/>
      <c r="AB4" s="63"/>
      <c r="AF4" s="217"/>
      <c r="AJ4" s="217"/>
    </row>
    <row r="5" spans="1:36" x14ac:dyDescent="0.3">
      <c r="A5" s="118" t="s">
        <v>2</v>
      </c>
      <c r="B5" s="118">
        <v>648</v>
      </c>
      <c r="C5" s="118">
        <v>391</v>
      </c>
      <c r="D5" s="63">
        <v>455</v>
      </c>
      <c r="E5" s="63">
        <v>425</v>
      </c>
      <c r="F5" s="118">
        <v>623</v>
      </c>
      <c r="G5" s="118">
        <v>585</v>
      </c>
      <c r="H5" s="63">
        <v>541</v>
      </c>
      <c r="I5" s="63">
        <v>127</v>
      </c>
      <c r="J5" s="118">
        <v>824</v>
      </c>
      <c r="K5" s="118">
        <v>552</v>
      </c>
      <c r="L5" s="63">
        <v>757</v>
      </c>
      <c r="M5" s="63">
        <v>127</v>
      </c>
      <c r="N5" s="118">
        <v>696</v>
      </c>
      <c r="O5" s="118">
        <v>415</v>
      </c>
      <c r="P5" s="63">
        <v>626</v>
      </c>
      <c r="Q5" s="63">
        <v>414</v>
      </c>
      <c r="R5" s="118">
        <f>402.876</f>
        <v>402.87599999999998</v>
      </c>
      <c r="S5" s="118">
        <f>960-258.784</f>
        <v>701.21600000000001</v>
      </c>
      <c r="T5" s="63">
        <v>499</v>
      </c>
      <c r="U5" s="63">
        <v>683</v>
      </c>
      <c r="V5" s="118">
        <v>864.11099999999999</v>
      </c>
      <c r="W5" s="118">
        <f>960-440.327</f>
        <v>519.673</v>
      </c>
      <c r="X5" s="63">
        <v>416</v>
      </c>
      <c r="Y5" s="63">
        <v>643</v>
      </c>
      <c r="AA5" s="63"/>
      <c r="AB5" s="63"/>
      <c r="AF5" s="217"/>
      <c r="AJ5" s="217"/>
    </row>
    <row r="6" spans="1:36" x14ac:dyDescent="0.3">
      <c r="A6" s="118" t="s">
        <v>4</v>
      </c>
      <c r="B6" s="118">
        <f t="shared" ref="B6:G6" si="0">B5-B4</f>
        <v>1</v>
      </c>
      <c r="C6" s="118">
        <f t="shared" si="0"/>
        <v>-6</v>
      </c>
      <c r="D6" s="63">
        <f t="shared" si="0"/>
        <v>-555</v>
      </c>
      <c r="E6" s="63">
        <f t="shared" si="0"/>
        <v>-40</v>
      </c>
      <c r="F6" s="118">
        <f t="shared" si="0"/>
        <v>5</v>
      </c>
      <c r="G6" s="118">
        <f t="shared" si="0"/>
        <v>-1</v>
      </c>
      <c r="H6" s="63">
        <f t="shared" ref="H6:O6" si="1">H5-H4</f>
        <v>-59</v>
      </c>
      <c r="I6" s="63">
        <f t="shared" si="1"/>
        <v>-528</v>
      </c>
      <c r="J6" s="118">
        <f t="shared" si="1"/>
        <v>10</v>
      </c>
      <c r="K6" s="118">
        <f t="shared" si="1"/>
        <v>2</v>
      </c>
      <c r="L6" s="63">
        <f t="shared" si="1"/>
        <v>-92</v>
      </c>
      <c r="M6" s="63">
        <f t="shared" si="1"/>
        <v>-561</v>
      </c>
      <c r="N6" s="118">
        <f t="shared" si="1"/>
        <v>0</v>
      </c>
      <c r="O6" s="118">
        <f t="shared" si="1"/>
        <v>-11</v>
      </c>
      <c r="P6" s="63">
        <f t="shared" ref="P6:Y6" si="2">P5-P4</f>
        <v>-534</v>
      </c>
      <c r="Q6" s="63">
        <f t="shared" si="2"/>
        <v>56</v>
      </c>
      <c r="R6" s="118">
        <f t="shared" si="2"/>
        <v>7.4989999999999668</v>
      </c>
      <c r="S6" s="118">
        <f t="shared" si="2"/>
        <v>19.237999999999943</v>
      </c>
      <c r="T6" s="63">
        <f t="shared" si="2"/>
        <v>-558</v>
      </c>
      <c r="U6" s="63">
        <f t="shared" si="2"/>
        <v>142</v>
      </c>
      <c r="V6" s="118">
        <f t="shared" si="2"/>
        <v>29.341999999999985</v>
      </c>
      <c r="W6" s="118">
        <f t="shared" si="2"/>
        <v>-40.267000000000053</v>
      </c>
      <c r="X6" s="63">
        <f t="shared" si="2"/>
        <v>-616</v>
      </c>
      <c r="Y6" s="63">
        <f t="shared" si="2"/>
        <v>137</v>
      </c>
      <c r="Z6" s="74"/>
      <c r="AA6" s="63"/>
      <c r="AB6" s="63"/>
      <c r="AC6" s="74"/>
      <c r="AD6" s="74"/>
      <c r="AE6" s="63"/>
      <c r="AF6" s="63"/>
      <c r="AG6" s="74"/>
      <c r="AH6" s="74"/>
      <c r="AI6" s="63"/>
      <c r="AJ6" s="63"/>
    </row>
    <row r="7" spans="1:36" x14ac:dyDescent="0.3">
      <c r="A7" s="118" t="s">
        <v>5</v>
      </c>
      <c r="B7" s="118">
        <f t="shared" ref="B7:G7" si="3">B6^2</f>
        <v>1</v>
      </c>
      <c r="C7" s="118">
        <f t="shared" si="3"/>
        <v>36</v>
      </c>
      <c r="D7" s="63">
        <f t="shared" si="3"/>
        <v>308025</v>
      </c>
      <c r="E7" s="63">
        <f t="shared" si="3"/>
        <v>1600</v>
      </c>
      <c r="F7" s="118">
        <f t="shared" si="3"/>
        <v>25</v>
      </c>
      <c r="G7" s="118">
        <f t="shared" si="3"/>
        <v>1</v>
      </c>
      <c r="H7" s="63">
        <f t="shared" ref="H7:O7" si="4">H6^2</f>
        <v>3481</v>
      </c>
      <c r="I7" s="63">
        <f t="shared" si="4"/>
        <v>278784</v>
      </c>
      <c r="J7" s="118">
        <f t="shared" si="4"/>
        <v>100</v>
      </c>
      <c r="K7" s="118">
        <f t="shared" si="4"/>
        <v>4</v>
      </c>
      <c r="L7" s="63">
        <f t="shared" si="4"/>
        <v>8464</v>
      </c>
      <c r="M7" s="63">
        <f t="shared" si="4"/>
        <v>314721</v>
      </c>
      <c r="N7" s="118">
        <f t="shared" si="4"/>
        <v>0</v>
      </c>
      <c r="O7" s="118">
        <f t="shared" si="4"/>
        <v>121</v>
      </c>
      <c r="P7" s="63">
        <f t="shared" ref="P7:Y7" si="5">P6^2</f>
        <v>285156</v>
      </c>
      <c r="Q7" s="63">
        <f t="shared" si="5"/>
        <v>3136</v>
      </c>
      <c r="R7" s="118">
        <f t="shared" si="5"/>
        <v>56.2350009999995</v>
      </c>
      <c r="S7" s="118">
        <f t="shared" si="5"/>
        <v>370.10064399999777</v>
      </c>
      <c r="T7" s="63">
        <f t="shared" si="5"/>
        <v>311364</v>
      </c>
      <c r="U7" s="63">
        <f t="shared" si="5"/>
        <v>20164</v>
      </c>
      <c r="V7" s="118">
        <f t="shared" si="5"/>
        <v>860.95296399999904</v>
      </c>
      <c r="W7" s="118">
        <f t="shared" si="5"/>
        <v>1621.4312890000042</v>
      </c>
      <c r="X7" s="63">
        <f t="shared" si="5"/>
        <v>379456</v>
      </c>
      <c r="Y7" s="63">
        <f t="shared" si="5"/>
        <v>18769</v>
      </c>
      <c r="Z7" s="74"/>
      <c r="AA7" s="63"/>
      <c r="AB7" s="63"/>
      <c r="AC7" s="74"/>
      <c r="AD7" s="74"/>
      <c r="AE7" s="63"/>
      <c r="AF7" s="63"/>
      <c r="AG7" s="74"/>
      <c r="AH7" s="74"/>
      <c r="AI7" s="63"/>
      <c r="AJ7" s="63"/>
    </row>
    <row r="8" spans="1:36" x14ac:dyDescent="0.3">
      <c r="A8" s="118" t="s">
        <v>6</v>
      </c>
      <c r="C8" s="118">
        <f>SQRT(SUM(B7:C7))</f>
        <v>6.0827625302982193</v>
      </c>
      <c r="D8" s="63"/>
      <c r="E8" s="63">
        <f>SQRT(SUM(D7:E7))</f>
        <v>556.43957443733279</v>
      </c>
      <c r="G8" s="118">
        <f>SQRT(SUM(F7:G7))</f>
        <v>5.0990195135927845</v>
      </c>
      <c r="H8" s="63"/>
      <c r="I8" s="63">
        <f>SQRT(SUM(H7:I7))</f>
        <v>531.28617523891967</v>
      </c>
      <c r="K8" s="118">
        <f>SQRT(SUM(J7:K7))</f>
        <v>10.198039027185569</v>
      </c>
      <c r="L8" s="63"/>
      <c r="M8" s="63">
        <f>SQRT(SUM(L7:M7))</f>
        <v>568.49362353504023</v>
      </c>
      <c r="O8" s="118">
        <f>SQRT(SUM(N7:O7))</f>
        <v>11</v>
      </c>
      <c r="P8" s="63"/>
      <c r="Q8" s="63">
        <f>SQRT(SUM(P7:Q7))</f>
        <v>536.92830061377845</v>
      </c>
      <c r="S8" s="118">
        <f>SQRT(SUM(R7:S7))</f>
        <v>20.647896866266969</v>
      </c>
      <c r="T8" s="63"/>
      <c r="U8" s="63">
        <f>SQRT(SUM(T7:U7))</f>
        <v>575.78468197756013</v>
      </c>
      <c r="W8" s="118">
        <f>SQRT(SUM(V7:W7))</f>
        <v>49.823531117334539</v>
      </c>
      <c r="X8" s="63"/>
      <c r="Y8" s="63">
        <f>SQRT(SUM(X7:Y7))</f>
        <v>631.05071111599261</v>
      </c>
      <c r="Z8" s="74"/>
      <c r="AA8" s="63"/>
      <c r="AB8" s="63"/>
      <c r="AC8" s="74"/>
      <c r="AD8" s="74"/>
      <c r="AE8" s="63"/>
      <c r="AF8" s="63"/>
      <c r="AG8" s="74"/>
      <c r="AH8" s="74"/>
      <c r="AI8" s="63"/>
      <c r="AJ8" s="63"/>
    </row>
    <row r="9" spans="1:36" x14ac:dyDescent="0.3">
      <c r="A9" s="118" t="s">
        <v>7</v>
      </c>
      <c r="C9" s="118">
        <f>MOD(ATAN2(C6,B6)*180/PI()+270,360)</f>
        <v>80.537677791974374</v>
      </c>
      <c r="D9" s="63"/>
      <c r="E9" s="63">
        <f>MOD(ATAN2(E6,D6)*180/PI()+270,360)</f>
        <v>175.87770218821635</v>
      </c>
      <c r="G9" s="118">
        <f>MOD(ATAN2(G6,F6)*180/PI()+270,360)</f>
        <v>11.309932474020229</v>
      </c>
      <c r="H9" s="63"/>
      <c r="I9" s="63">
        <f>MOD(ATAN2(I6,H6)*180/PI()+270,360)</f>
        <v>96.375919726841175</v>
      </c>
      <c r="K9" s="118">
        <f>MOD(ATAN2(K6,J6)*180/PI()+270,360)</f>
        <v>348.69006752597977</v>
      </c>
      <c r="L9" s="63"/>
      <c r="M9" s="63">
        <f>MOD(ATAN2(M6,L6)*180/PI()+270,360)</f>
        <v>99.313201082726351</v>
      </c>
      <c r="O9" s="118">
        <f>MOD(ATAN2(O6,N6)*180/PI()+270,360)</f>
        <v>90</v>
      </c>
      <c r="P9" s="63"/>
      <c r="Q9" s="63">
        <f>MOD(ATAN2(Q6,P6)*180/PI()+270,360)</f>
        <v>185.98666406760992</v>
      </c>
      <c r="S9" s="118">
        <f>MOD(ATAN2(S6,R6)*180/PI()+270,360)</f>
        <v>291.29590798153987</v>
      </c>
      <c r="T9" s="63"/>
      <c r="U9" s="63">
        <f>MOD(ATAN2(U6,T6)*180/PI()+270,360)</f>
        <v>194.27758904771318</v>
      </c>
      <c r="W9" s="118">
        <f>MOD(ATAN2(W6,V6)*180/PI()+270,360)</f>
        <v>53.919699690298216</v>
      </c>
      <c r="X9" s="63"/>
      <c r="Y9" s="63">
        <f>MOD(ATAN2(Y6,X6)*180/PI()+270,360)</f>
        <v>192.53865572890896</v>
      </c>
      <c r="Z9" s="74"/>
      <c r="AA9" s="63"/>
      <c r="AB9" s="63"/>
      <c r="AC9" s="74"/>
      <c r="AD9" s="74"/>
      <c r="AE9" s="63"/>
      <c r="AF9" s="63"/>
      <c r="AG9" s="74"/>
      <c r="AH9" s="74"/>
      <c r="AI9" s="63"/>
      <c r="AJ9" s="63"/>
    </row>
    <row r="10" spans="1:36" s="248" customFormat="1" ht="117" customHeight="1" x14ac:dyDescent="0.3">
      <c r="A10" s="250" t="s">
        <v>40</v>
      </c>
      <c r="B10" s="430" t="s">
        <v>382</v>
      </c>
      <c r="C10" s="430"/>
      <c r="D10" s="430"/>
      <c r="E10" s="430"/>
      <c r="F10" s="430" t="s">
        <v>382</v>
      </c>
      <c r="G10" s="430"/>
      <c r="H10" s="430"/>
      <c r="I10" s="430"/>
      <c r="J10" s="430" t="s">
        <v>382</v>
      </c>
      <c r="K10" s="430"/>
      <c r="L10" s="430"/>
      <c r="M10" s="430"/>
      <c r="N10" s="430" t="s">
        <v>382</v>
      </c>
      <c r="O10" s="430"/>
      <c r="P10" s="430"/>
      <c r="Q10" s="430"/>
      <c r="R10" s="430" t="s">
        <v>372</v>
      </c>
      <c r="S10" s="430"/>
      <c r="T10" s="430"/>
      <c r="U10" s="430"/>
      <c r="V10" s="430" t="s">
        <v>372</v>
      </c>
      <c r="W10" s="430"/>
      <c r="X10" s="430"/>
      <c r="Y10" s="430"/>
      <c r="AC10" s="425"/>
      <c r="AD10" s="425"/>
      <c r="AG10" s="425"/>
      <c r="AH10" s="425"/>
    </row>
    <row r="11" spans="1:36" s="127" customFormat="1" x14ac:dyDescent="0.3">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row>
    <row r="12" spans="1:36" s="301" customFormat="1" x14ac:dyDescent="0.3">
      <c r="B12" s="301" t="s">
        <v>62</v>
      </c>
      <c r="C12" s="301" t="s">
        <v>63</v>
      </c>
      <c r="D12" s="69"/>
      <c r="E12" s="69"/>
      <c r="F12" s="301" t="s">
        <v>62</v>
      </c>
      <c r="G12" s="301" t="s">
        <v>63</v>
      </c>
      <c r="H12" s="69"/>
      <c r="I12" s="69"/>
      <c r="J12" s="301" t="s">
        <v>62</v>
      </c>
      <c r="K12" s="301" t="s">
        <v>63</v>
      </c>
      <c r="L12" s="69"/>
      <c r="M12" s="69"/>
      <c r="N12" s="301" t="s">
        <v>62</v>
      </c>
      <c r="O12" s="301" t="s">
        <v>63</v>
      </c>
      <c r="P12" s="69"/>
      <c r="Q12" s="69"/>
      <c r="R12" s="301" t="s">
        <v>62</v>
      </c>
      <c r="S12" s="301" t="s">
        <v>63</v>
      </c>
      <c r="T12" s="69"/>
      <c r="U12" s="69"/>
      <c r="V12" s="301" t="s">
        <v>62</v>
      </c>
      <c r="W12" s="301" t="s">
        <v>63</v>
      </c>
      <c r="X12" s="69"/>
      <c r="Y12" s="69"/>
    </row>
    <row r="13" spans="1:36" x14ac:dyDescent="0.3">
      <c r="A13" s="118" t="s">
        <v>18</v>
      </c>
      <c r="D13" s="63"/>
      <c r="E13" s="63"/>
      <c r="H13" s="63"/>
      <c r="I13" s="63"/>
      <c r="L13" s="63"/>
      <c r="M13" s="63"/>
      <c r="P13" s="63"/>
      <c r="Q13" s="63"/>
      <c r="T13" s="63"/>
      <c r="U13" s="63"/>
      <c r="X13" s="63"/>
      <c r="Y13" s="63"/>
    </row>
    <row r="14" spans="1:36" x14ac:dyDescent="0.3">
      <c r="A14" s="118" t="s">
        <v>17</v>
      </c>
      <c r="D14" s="63"/>
      <c r="E14" s="63"/>
      <c r="H14" s="63"/>
      <c r="I14" s="63"/>
      <c r="L14" s="63"/>
      <c r="M14" s="63"/>
      <c r="P14" s="63"/>
      <c r="Q14" s="63"/>
      <c r="T14" s="63"/>
      <c r="U14" s="63"/>
      <c r="X14" s="63"/>
      <c r="Y14" s="63"/>
    </row>
    <row r="15" spans="1:36" x14ac:dyDescent="0.3">
      <c r="A15" s="118" t="s">
        <v>14</v>
      </c>
      <c r="D15" s="63"/>
      <c r="E15" s="63"/>
      <c r="H15" s="63"/>
      <c r="I15" s="63"/>
      <c r="L15" s="63"/>
      <c r="M15" s="63"/>
      <c r="P15" s="63"/>
      <c r="Q15" s="63"/>
      <c r="T15" s="63"/>
      <c r="U15" s="63"/>
      <c r="X15" s="63"/>
      <c r="Y15" s="63"/>
    </row>
    <row r="16" spans="1:36" x14ac:dyDescent="0.3">
      <c r="A16" s="118" t="s">
        <v>13</v>
      </c>
      <c r="C16" s="147">
        <v>0.61499999999999999</v>
      </c>
      <c r="D16" s="63"/>
      <c r="E16" s="111">
        <f>5*15.0412*COS((30+17/60+14/3600)*PI()/180)</f>
        <v>64.940986107977551</v>
      </c>
      <c r="G16" s="147">
        <v>0.61499999999999999</v>
      </c>
      <c r="H16" s="63"/>
      <c r="I16" s="111">
        <f>5*15.0412*COS((30+17/60+14/3600)*PI()/180)</f>
        <v>64.940986107977551</v>
      </c>
      <c r="K16" s="147">
        <v>1.127</v>
      </c>
      <c r="L16" s="63"/>
      <c r="M16" s="111">
        <f>5*15.0412*COS((31+36/60+15/3600)*PI()/180)</f>
        <v>64.052109890310106</v>
      </c>
      <c r="O16" s="147">
        <v>1.127</v>
      </c>
      <c r="P16" s="63"/>
      <c r="Q16" s="111">
        <f>5*15.0412*COS((31+36/60+15/3600)*PI()/180)</f>
        <v>64.052109890310106</v>
      </c>
      <c r="S16" s="147">
        <v>2.37</v>
      </c>
      <c r="T16" s="63"/>
      <c r="U16" s="111">
        <f>8*15.0412*COS((54+28/60+14/3600)*PI()/180)</f>
        <v>69.926088167297323</v>
      </c>
      <c r="W16" s="147">
        <v>5.8029999999999999</v>
      </c>
      <c r="X16" s="63"/>
      <c r="Y16" s="111">
        <f>5*15.0412*COS((2+29/60+46/3600)*PI()/180)</f>
        <v>75.134643035500702</v>
      </c>
      <c r="AA16" s="63"/>
      <c r="AB16" s="111"/>
      <c r="AE16" s="63"/>
      <c r="AF16" s="111"/>
      <c r="AI16" s="63"/>
      <c r="AJ16" s="111"/>
    </row>
    <row r="17" spans="1:36" x14ac:dyDescent="0.3">
      <c r="A17" s="118" t="s">
        <v>7</v>
      </c>
      <c r="C17" s="118">
        <v>172.95</v>
      </c>
      <c r="D17" s="63"/>
      <c r="E17" s="63">
        <v>-90</v>
      </c>
      <c r="G17" s="118">
        <v>172.95</v>
      </c>
      <c r="H17" s="63"/>
      <c r="I17" s="63">
        <v>-90</v>
      </c>
      <c r="K17" s="118">
        <v>173.38</v>
      </c>
      <c r="L17" s="63"/>
      <c r="M17" s="63">
        <v>-90</v>
      </c>
      <c r="O17" s="118">
        <v>173.38</v>
      </c>
      <c r="P17" s="63"/>
      <c r="Q17" s="63">
        <v>-90</v>
      </c>
      <c r="S17" s="118">
        <v>5.54</v>
      </c>
      <c r="T17" s="63"/>
      <c r="U17" s="63">
        <v>-90</v>
      </c>
      <c r="W17" s="118">
        <v>130.97999999999999</v>
      </c>
      <c r="X17" s="63"/>
      <c r="Y17" s="63">
        <v>-90</v>
      </c>
      <c r="AA17" s="63"/>
      <c r="AB17" s="63"/>
      <c r="AE17" s="63"/>
      <c r="AF17" s="63"/>
      <c r="AI17" s="63"/>
      <c r="AJ17" s="63"/>
    </row>
    <row r="18" spans="1:36" x14ac:dyDescent="0.3">
      <c r="A18" s="118" t="s">
        <v>32</v>
      </c>
      <c r="B18" s="72">
        <f>-C16*SIN((C17)/180*PI())</f>
        <v>-7.5482305936314137E-2</v>
      </c>
      <c r="C18" s="72">
        <f>C16*COS((C17)/180*PI())</f>
        <v>-0.61035024493362555</v>
      </c>
      <c r="D18" s="72">
        <f>-E16*SIN((E17)/180*PI())</f>
        <v>64.940986107977551</v>
      </c>
      <c r="E18" s="72">
        <f>E16*COS((E17)/180*PI())</f>
        <v>3.978117439521543E-15</v>
      </c>
      <c r="F18" s="72">
        <f>-G16*SIN((G17)/180*PI())</f>
        <v>-7.5482305936314137E-2</v>
      </c>
      <c r="G18" s="72">
        <f>G16*COS((G17)/180*PI())</f>
        <v>-0.61035024493362555</v>
      </c>
      <c r="H18" s="72">
        <f>-I16*SIN((I17)/180*PI())</f>
        <v>64.940986107977551</v>
      </c>
      <c r="I18" s="72">
        <f>I16*COS((I17)/180*PI())</f>
        <v>3.978117439521543E-15</v>
      </c>
      <c r="J18" s="72">
        <f>-K16*SIN((K17)/180*PI())</f>
        <v>-0.12992495078370603</v>
      </c>
      <c r="K18" s="72">
        <f>K16*COS((K17)/180*PI())</f>
        <v>-1.1194858226721103</v>
      </c>
      <c r="L18" s="72">
        <f>-M16*SIN((M17)/180*PI())</f>
        <v>64.052109890310106</v>
      </c>
      <c r="M18" s="72">
        <f>M16*COS((M17)/180*PI())</f>
        <v>3.923667173287528E-15</v>
      </c>
      <c r="N18" s="72">
        <f>-O16*SIN((O17)/180*PI())</f>
        <v>-0.12992495078370603</v>
      </c>
      <c r="O18" s="72">
        <f>O16*COS((O17)/180*PI())</f>
        <v>-1.1194858226721103</v>
      </c>
      <c r="P18" s="72">
        <f>-Q16*SIN((Q17)/180*PI())</f>
        <v>64.052109890310106</v>
      </c>
      <c r="Q18" s="72">
        <f>Q16*COS((Q17)/180*PI())</f>
        <v>3.923667173287528E-15</v>
      </c>
      <c r="R18" s="72">
        <f>-S16*SIN((S17)/180*PI())</f>
        <v>-0.22880133279200371</v>
      </c>
      <c r="S18" s="72">
        <f>S16*COS((S17)/180*PI())</f>
        <v>2.3589298315364542</v>
      </c>
      <c r="T18" s="72">
        <f>-U16*SIN((U17)/180*PI())</f>
        <v>69.926088167297323</v>
      </c>
      <c r="U18" s="72">
        <f>U16*COS((U17)/180*PI())</f>
        <v>4.2834919437984127E-15</v>
      </c>
      <c r="V18" s="72">
        <f>-W16*SIN((W17)/180*PI())</f>
        <v>-4.3809083594665426</v>
      </c>
      <c r="W18" s="72">
        <f>W16*COS((W17)/180*PI())</f>
        <v>-3.8055815516102358</v>
      </c>
      <c r="X18" s="72">
        <f>-Y16*SIN((Y17)/180*PI())</f>
        <v>75.134643035500702</v>
      </c>
      <c r="Y18" s="72">
        <f>Y16*COS((Y17)/180*PI())</f>
        <v>4.6025545912527196E-15</v>
      </c>
      <c r="Z18" s="72"/>
      <c r="AA18" s="72"/>
      <c r="AB18" s="72"/>
      <c r="AC18" s="72"/>
      <c r="AD18" s="72"/>
      <c r="AE18" s="72"/>
      <c r="AF18" s="72"/>
      <c r="AG18" s="72"/>
      <c r="AH18" s="72"/>
      <c r="AI18" s="72"/>
      <c r="AJ18" s="72"/>
    </row>
    <row r="19" spans="1:36" s="164" customFormat="1" ht="69" customHeight="1" x14ac:dyDescent="0.3">
      <c r="A19" s="251" t="s">
        <v>40</v>
      </c>
      <c r="B19" s="388"/>
      <c r="C19" s="388"/>
      <c r="D19" s="65"/>
      <c r="E19" s="65"/>
      <c r="F19" s="388"/>
      <c r="G19" s="388"/>
      <c r="H19" s="65"/>
      <c r="I19" s="65"/>
      <c r="J19" s="388"/>
      <c r="K19" s="388"/>
      <c r="L19" s="65"/>
      <c r="M19" s="65"/>
      <c r="N19" s="388"/>
      <c r="O19" s="388"/>
      <c r="P19" s="65"/>
      <c r="Q19" s="65"/>
      <c r="R19" s="388"/>
      <c r="S19" s="388"/>
      <c r="T19" s="65"/>
      <c r="U19" s="65"/>
      <c r="V19" s="388"/>
      <c r="W19" s="388"/>
      <c r="X19" s="65"/>
      <c r="Y19" s="65"/>
    </row>
    <row r="20" spans="1:36" s="127" customFormat="1" x14ac:dyDescent="0.3">
      <c r="A20" s="252" t="s">
        <v>38</v>
      </c>
      <c r="D20" s="67"/>
      <c r="E20" s="67"/>
      <c r="H20" s="67"/>
      <c r="I20" s="67"/>
      <c r="L20" s="67"/>
      <c r="M20" s="67"/>
      <c r="P20" s="67"/>
      <c r="Q20" s="67"/>
      <c r="T20" s="67"/>
      <c r="U20" s="67"/>
      <c r="X20" s="67"/>
      <c r="Y20" s="67"/>
    </row>
    <row r="21" spans="1:36" x14ac:dyDescent="0.3">
      <c r="A21" s="139" t="s">
        <v>65</v>
      </c>
      <c r="C21" s="118">
        <f>C16/C8</f>
        <v>0.10110537719279473</v>
      </c>
      <c r="D21" s="63"/>
      <c r="E21" s="118">
        <f>E16/E8</f>
        <v>0.11670806515450551</v>
      </c>
      <c r="G21" s="118">
        <f>G16/G8</f>
        <v>0.12061142310998318</v>
      </c>
      <c r="H21" s="63"/>
      <c r="I21" s="118">
        <f>I16/I8</f>
        <v>0.1222335327637192</v>
      </c>
      <c r="K21" s="118">
        <f>K16/K8</f>
        <v>0.11051144215036671</v>
      </c>
      <c r="L21" s="63"/>
      <c r="M21" s="118">
        <f>M16/M8</f>
        <v>0.11266988271920719</v>
      </c>
      <c r="O21" s="118">
        <f>O16/O8</f>
        <v>0.10245454545454545</v>
      </c>
      <c r="P21" s="63"/>
      <c r="Q21" s="118">
        <f>Q16/Q8</f>
        <v>0.11929359994079333</v>
      </c>
      <c r="S21" s="118">
        <f>S16/S8</f>
        <v>0.11478166591736196</v>
      </c>
      <c r="T21" s="63"/>
      <c r="U21" s="118">
        <f>U16/U8</f>
        <v>0.12144485665567346</v>
      </c>
      <c r="W21" s="118">
        <f>W16/W8</f>
        <v>0.11647107039310242</v>
      </c>
      <c r="X21" s="63"/>
      <c r="Y21" s="118">
        <f>Y16/Y8</f>
        <v>0.11906276581580509</v>
      </c>
      <c r="AA21" s="63"/>
      <c r="AE21" s="63"/>
    </row>
    <row r="22" spans="1:36" x14ac:dyDescent="0.3">
      <c r="A22" s="118" t="s">
        <v>34</v>
      </c>
      <c r="C22" s="129"/>
      <c r="D22" s="63"/>
      <c r="E22" s="63"/>
      <c r="G22" s="129"/>
      <c r="H22" s="63"/>
      <c r="I22" s="63"/>
      <c r="K22" s="129"/>
      <c r="L22" s="63"/>
      <c r="M22" s="63"/>
      <c r="O22" s="129"/>
      <c r="P22" s="63"/>
      <c r="Q22" s="63"/>
      <c r="S22" s="129"/>
      <c r="T22" s="63"/>
      <c r="U22" s="63"/>
      <c r="W22" s="129"/>
      <c r="X22" s="63"/>
      <c r="Y22" s="63"/>
      <c r="Z22" s="129"/>
      <c r="AA22" s="63"/>
      <c r="AB22" s="63"/>
      <c r="AD22" s="129"/>
      <c r="AE22" s="63"/>
      <c r="AF22" s="63"/>
      <c r="AH22" s="129"/>
      <c r="AJ22" s="63"/>
    </row>
    <row r="23" spans="1:36" x14ac:dyDescent="0.3">
      <c r="A23" s="118" t="s">
        <v>35</v>
      </c>
      <c r="C23" s="118">
        <f>C21-$C22</f>
        <v>0.10110537719279473</v>
      </c>
      <c r="D23" s="63"/>
      <c r="E23" s="118">
        <f>E21-$C22</f>
        <v>0.11670806515450551</v>
      </c>
      <c r="G23" s="118">
        <f>G21-$C22</f>
        <v>0.12061142310998318</v>
      </c>
      <c r="H23" s="63"/>
      <c r="I23" s="118">
        <f>I21-$C22</f>
        <v>0.1222335327637192</v>
      </c>
      <c r="K23" s="118">
        <f>K21-$C22</f>
        <v>0.11051144215036671</v>
      </c>
      <c r="L23" s="63"/>
      <c r="M23" s="118">
        <f>M21-$C22</f>
        <v>0.11266988271920719</v>
      </c>
      <c r="O23" s="118">
        <f>O21-$C22</f>
        <v>0.10245454545454545</v>
      </c>
      <c r="P23" s="63"/>
      <c r="Q23" s="118">
        <f>Q21-$C22</f>
        <v>0.11929359994079333</v>
      </c>
      <c r="S23" s="118">
        <f>S21-$C22</f>
        <v>0.11478166591736196</v>
      </c>
      <c r="T23" s="63"/>
      <c r="U23" s="118">
        <f>U21-$C22</f>
        <v>0.12144485665567346</v>
      </c>
      <c r="W23" s="118">
        <f>W21-$C22</f>
        <v>0.11647107039310242</v>
      </c>
      <c r="X23" s="63"/>
      <c r="Y23" s="118">
        <f>Y21-$C22</f>
        <v>0.11906276581580509</v>
      </c>
      <c r="AA23" s="63"/>
      <c r="AE23" s="63"/>
    </row>
    <row r="24" spans="1:36" x14ac:dyDescent="0.3">
      <c r="A24" s="139" t="s">
        <v>64</v>
      </c>
      <c r="C24" s="74">
        <f>MOD(C9-C17,360)</f>
        <v>267.58767779197439</v>
      </c>
      <c r="D24" s="63"/>
      <c r="E24" s="74">
        <f>MOD(E9-E17,360)</f>
        <v>265.87770218821635</v>
      </c>
      <c r="G24" s="74">
        <f>MOD(G9-G17,360)</f>
        <v>198.35993247402024</v>
      </c>
      <c r="H24" s="63"/>
      <c r="I24" s="74">
        <f>MOD(I9-I17,360)</f>
        <v>186.37591972684118</v>
      </c>
      <c r="K24" s="74">
        <f>MOD(K9-K17,360)</f>
        <v>175.31006752597978</v>
      </c>
      <c r="L24" s="63"/>
      <c r="M24" s="74">
        <f>MOD(M9-M17,360)</f>
        <v>189.31320108272635</v>
      </c>
      <c r="O24" s="74">
        <f>MOD(O9-O17,360)</f>
        <v>276.62</v>
      </c>
      <c r="P24" s="63"/>
      <c r="Q24" s="74">
        <f>MOD(Q9-Q17,360)</f>
        <v>275.98666406760992</v>
      </c>
      <c r="S24" s="74">
        <f>MOD(S9-S17,360)</f>
        <v>285.75590798153985</v>
      </c>
      <c r="T24" s="63"/>
      <c r="U24" s="74">
        <f>MOD(U9-U17,360)</f>
        <v>284.27758904771315</v>
      </c>
      <c r="W24" s="74">
        <f>MOD(W9-W17,360)</f>
        <v>282.9396996902982</v>
      </c>
      <c r="X24" s="63"/>
      <c r="Y24" s="74">
        <f>MOD(Y9-Y17,360)</f>
        <v>282.53865572890896</v>
      </c>
      <c r="Z24" s="74"/>
      <c r="AA24" s="63"/>
      <c r="AB24" s="74"/>
      <c r="AD24" s="74"/>
      <c r="AE24" s="63"/>
      <c r="AF24" s="74"/>
      <c r="AH24" s="74"/>
      <c r="AJ24" s="74"/>
    </row>
    <row r="25" spans="1:36" x14ac:dyDescent="0.3">
      <c r="A25" s="118" t="s">
        <v>36</v>
      </c>
      <c r="D25" s="63"/>
      <c r="E25" s="63"/>
      <c r="H25" s="63"/>
      <c r="I25" s="63"/>
      <c r="L25" s="63"/>
      <c r="M25" s="63"/>
      <c r="P25" s="63"/>
      <c r="Q25" s="63"/>
      <c r="T25" s="63"/>
      <c r="U25" s="63"/>
      <c r="X25" s="63"/>
      <c r="Y25" s="63"/>
      <c r="AA25" s="63"/>
      <c r="AB25" s="63"/>
      <c r="AE25" s="63"/>
      <c r="AF25" s="63"/>
      <c r="AJ25" s="63"/>
    </row>
    <row r="26" spans="1:36" x14ac:dyDescent="0.3">
      <c r="A26" s="118" t="s">
        <v>35</v>
      </c>
      <c r="C26" s="118">
        <f>C24-$C25</f>
        <v>267.58767779197439</v>
      </c>
      <c r="D26" s="63"/>
      <c r="E26" s="118">
        <f>E24-$C25</f>
        <v>265.87770218821635</v>
      </c>
      <c r="G26" s="118">
        <f>G24-$C25</f>
        <v>198.35993247402024</v>
      </c>
      <c r="H26" s="63"/>
      <c r="I26" s="118">
        <f>I24-$C25</f>
        <v>186.37591972684118</v>
      </c>
      <c r="K26" s="118">
        <f>K24-$C25</f>
        <v>175.31006752597978</v>
      </c>
      <c r="L26" s="63"/>
      <c r="M26" s="118">
        <f>M24-$C25</f>
        <v>189.31320108272635</v>
      </c>
      <c r="O26" s="118">
        <f>O24-$C25</f>
        <v>276.62</v>
      </c>
      <c r="P26" s="63"/>
      <c r="Q26" s="118">
        <f>Q24-$C25</f>
        <v>275.98666406760992</v>
      </c>
      <c r="S26" s="118">
        <f>S24-$C25</f>
        <v>285.75590798153985</v>
      </c>
      <c r="T26" s="63"/>
      <c r="U26" s="118">
        <f>U24-$C25</f>
        <v>284.27758904771315</v>
      </c>
      <c r="W26" s="118">
        <f>W24-$C25</f>
        <v>282.9396996902982</v>
      </c>
      <c r="X26" s="63"/>
      <c r="Y26" s="118">
        <f>Y24-$C25</f>
        <v>282.53865572890896</v>
      </c>
      <c r="AA26" s="63"/>
      <c r="AB26" s="63"/>
      <c r="AE26" s="63"/>
      <c r="AF26" s="63"/>
      <c r="AJ26" s="63"/>
    </row>
    <row r="27" spans="1:36" x14ac:dyDescent="0.3">
      <c r="A27" s="118" t="s">
        <v>67</v>
      </c>
      <c r="C27" s="118">
        <f>SQRT(C16)</f>
        <v>0.78421935706790613</v>
      </c>
      <c r="D27" s="63"/>
      <c r="E27" s="63">
        <f>SQRT(E16)</f>
        <v>8.0585970309960011</v>
      </c>
      <c r="G27" s="118">
        <f>SQRT(G16)</f>
        <v>0.78421935706790613</v>
      </c>
      <c r="H27" s="63"/>
      <c r="I27" s="63">
        <f>SQRT(I16)</f>
        <v>8.0585970309960011</v>
      </c>
      <c r="K27" s="118">
        <f>SQRT(K16)</f>
        <v>1.0616025621672172</v>
      </c>
      <c r="L27" s="63"/>
      <c r="M27" s="63">
        <f>SQRT(M16)</f>
        <v>8.0032562054647549</v>
      </c>
      <c r="O27" s="118">
        <f>SQRT(O16)</f>
        <v>1.0616025621672172</v>
      </c>
      <c r="P27" s="63"/>
      <c r="Q27" s="63">
        <f>SQRT(Q16)</f>
        <v>8.0032562054647549</v>
      </c>
      <c r="S27" s="118">
        <f>SQRT(S16)</f>
        <v>1.5394804318340654</v>
      </c>
      <c r="T27" s="63"/>
      <c r="U27" s="63">
        <f>SQRT(U16)</f>
        <v>8.3621820218946041</v>
      </c>
      <c r="W27" s="118">
        <f>SQRT(W16)</f>
        <v>2.4089416763383875</v>
      </c>
      <c r="X27" s="63"/>
      <c r="Y27" s="63">
        <f>SQRT(Y16)</f>
        <v>8.6680241713726609</v>
      </c>
      <c r="AA27" s="63"/>
      <c r="AB27" s="63"/>
      <c r="AE27" s="63"/>
      <c r="AF27" s="63"/>
      <c r="AJ27" s="63"/>
    </row>
    <row r="28" spans="1:36" x14ac:dyDescent="0.3">
      <c r="A28" s="129" t="s">
        <v>68</v>
      </c>
      <c r="C28" s="118">
        <f>C27*C21</f>
        <v>7.928879389824163E-2</v>
      </c>
      <c r="D28" s="63"/>
      <c r="E28" s="118">
        <f>E27*E21</f>
        <v>0.94050326734738587</v>
      </c>
      <c r="G28" s="118">
        <f>G27*G21</f>
        <v>9.4585812686356213E-2</v>
      </c>
      <c r="H28" s="63"/>
      <c r="I28" s="118">
        <f>I27*I21</f>
        <v>0.98503078421786006</v>
      </c>
      <c r="K28" s="118">
        <f>K27*K21</f>
        <v>0.1173192301356235</v>
      </c>
      <c r="L28" s="63"/>
      <c r="M28" s="118">
        <f>M27*M21</f>
        <v>0.90172593804148116</v>
      </c>
      <c r="O28" s="118">
        <f>O27*O21</f>
        <v>0.10876600796022307</v>
      </c>
      <c r="P28" s="63"/>
      <c r="Q28" s="118">
        <f>Q27*Q21</f>
        <v>0.95473724399838411</v>
      </c>
      <c r="S28" s="118">
        <f>S27*S21</f>
        <v>0.17670412861309381</v>
      </c>
      <c r="T28" s="63"/>
      <c r="U28" s="118">
        <f>U27*U21</f>
        <v>1.0155439969776399</v>
      </c>
      <c r="W28" s="118">
        <f>W27*W21</f>
        <v>0.28057201555768646</v>
      </c>
      <c r="X28" s="63"/>
      <c r="Y28" s="118">
        <f>Y27*Y21</f>
        <v>1.032038932001881</v>
      </c>
      <c r="AA28" s="63"/>
      <c r="AE28" s="63"/>
    </row>
    <row r="29" spans="1:36" x14ac:dyDescent="0.3">
      <c r="A29" s="139" t="s">
        <v>69</v>
      </c>
      <c r="B29" s="118" t="s">
        <v>357</v>
      </c>
      <c r="C29" s="139">
        <f>SUM(B28:Y28)/SUM(B27:Y27)</f>
        <v>0.1177381179265561</v>
      </c>
      <c r="D29" s="63"/>
      <c r="E29" s="63"/>
      <c r="G29" s="139"/>
      <c r="H29" s="63"/>
      <c r="I29" s="63"/>
      <c r="K29" s="139"/>
      <c r="L29" s="63"/>
      <c r="M29" s="63"/>
      <c r="O29" s="139"/>
      <c r="P29" s="63"/>
      <c r="Q29" s="63"/>
      <c r="S29" s="139"/>
      <c r="T29" s="63"/>
      <c r="U29" s="63"/>
      <c r="W29" s="139"/>
      <c r="X29" s="63"/>
      <c r="Y29" s="63"/>
      <c r="Z29" s="139"/>
      <c r="AA29" s="63"/>
      <c r="AB29" s="63"/>
      <c r="AD29" s="139"/>
      <c r="AE29" s="63"/>
      <c r="AF29" s="63"/>
      <c r="AH29" s="139"/>
      <c r="AJ29" s="63"/>
    </row>
    <row r="30" spans="1:36" x14ac:dyDescent="0.3">
      <c r="A30" s="118" t="s">
        <v>72</v>
      </c>
      <c r="B30" s="118">
        <f>SQRT(SUMSQ(C30:E30)/SUM(C27:E27))</f>
        <v>5.6040206985278193E-3</v>
      </c>
      <c r="C30" s="139">
        <f>C21-$C$29</f>
        <v>-1.6632740733761364E-2</v>
      </c>
      <c r="D30" s="63"/>
      <c r="E30" s="139">
        <f>E21-$C29</f>
        <v>-1.0300527720505936E-3</v>
      </c>
      <c r="F30" s="118">
        <f>SQRT(SUMSQ(G30:I30)/SUM(G27:I27))</f>
        <v>1.7941449332185746E-3</v>
      </c>
      <c r="G30" s="139">
        <f>G21-$C$29</f>
        <v>2.8733051834270856E-3</v>
      </c>
      <c r="H30" s="63"/>
      <c r="I30" s="139">
        <f>I21-$C29</f>
        <v>4.4954148371631059E-3</v>
      </c>
      <c r="J30" s="118">
        <f>SQRT(SUMSQ(K30:M30)/SUM(K27:M27))</f>
        <v>2.9317115620867223E-3</v>
      </c>
      <c r="K30" s="139">
        <f>K21-$C$29</f>
        <v>-7.2266757761893924E-3</v>
      </c>
      <c r="L30" s="63"/>
      <c r="M30" s="139">
        <f>M21-$C29</f>
        <v>-5.0682352073489062E-3</v>
      </c>
      <c r="N30" s="118">
        <f>SQRT(SUMSQ(O30:Q30)/SUM(O27:Q27))</f>
        <v>5.1024883760276661E-3</v>
      </c>
      <c r="O30" s="139">
        <f>O21-$C$29</f>
        <v>-1.5283572472010648E-2</v>
      </c>
      <c r="P30" s="63"/>
      <c r="Q30" s="139">
        <f>Q21-$C29</f>
        <v>1.5554820142372333E-3</v>
      </c>
      <c r="R30" s="118">
        <f>SQRT(SUMSQ(S30:U30)/SUM(S27:U27))</f>
        <v>1.50677748618934E-3</v>
      </c>
      <c r="S30" s="139">
        <f>S21-$C$29</f>
        <v>-2.9564520091941437E-3</v>
      </c>
      <c r="T30" s="63"/>
      <c r="U30" s="139">
        <f>U21-$C29</f>
        <v>3.7067387291173648E-3</v>
      </c>
      <c r="V30" s="118">
        <f>SQRT(SUMSQ(W30:Y30)/SUM(W27:Y27))</f>
        <v>5.5076430864098389E-4</v>
      </c>
      <c r="W30" s="139">
        <f>W21-$C$29</f>
        <v>-1.2670475334536774E-3</v>
      </c>
      <c r="X30" s="63"/>
      <c r="Y30" s="139">
        <f>Y21-$C29</f>
        <v>1.3246478892489921E-3</v>
      </c>
      <c r="Z30" s="139"/>
      <c r="AA30" s="63"/>
      <c r="AB30" s="75"/>
      <c r="AD30" s="139"/>
      <c r="AE30" s="63"/>
      <c r="AF30" s="75"/>
      <c r="AH30" s="139"/>
      <c r="AJ30" s="75"/>
    </row>
    <row r="31" spans="1:36" x14ac:dyDescent="0.3">
      <c r="A31" s="129" t="s">
        <v>119</v>
      </c>
      <c r="C31" s="118">
        <f>C27*C24</f>
        <v>209.84743663731618</v>
      </c>
      <c r="D31" s="63"/>
      <c r="E31" s="63">
        <f>E27*E24</f>
        <v>2142.6012614619995</v>
      </c>
      <c r="G31" s="118">
        <f>G27*G24</f>
        <v>155.55769871280944</v>
      </c>
      <c r="H31" s="63"/>
      <c r="I31" s="63">
        <f>I27*I24</f>
        <v>1501.9284333598714</v>
      </c>
      <c r="K31" s="118">
        <f>K27*K24</f>
        <v>186.109616859288</v>
      </c>
      <c r="L31" s="63"/>
      <c r="M31" s="63">
        <f>M27*M24</f>
        <v>1515.1220513417265</v>
      </c>
      <c r="O31" s="118">
        <f>O27*O24</f>
        <v>293.66050074669562</v>
      </c>
      <c r="P31" s="63"/>
      <c r="Q31" s="63">
        <f>Q27*Q24</f>
        <v>2208.791981824616</v>
      </c>
      <c r="S31" s="118">
        <f>S27*S24</f>
        <v>439.91562861855641</v>
      </c>
      <c r="T31" s="63"/>
      <c r="U31" s="63">
        <f>U27*U24</f>
        <v>2377.1809443623292</v>
      </c>
      <c r="W31" s="118">
        <f>W27*W24</f>
        <v>681.58523447462687</v>
      </c>
      <c r="X31" s="63"/>
      <c r="Y31" s="63">
        <f>Y27*Y24</f>
        <v>2449.0518972053214</v>
      </c>
      <c r="AA31" s="63"/>
      <c r="AB31" s="63"/>
      <c r="AE31" s="63"/>
      <c r="AF31" s="63"/>
      <c r="AJ31" s="63"/>
    </row>
    <row r="32" spans="1:36" x14ac:dyDescent="0.3">
      <c r="A32" s="261" t="s">
        <v>120</v>
      </c>
      <c r="C32" s="139">
        <f>MOD(SUM(B31:E31)/SUM(B27:E27),360)</f>
        <v>266.02935025029655</v>
      </c>
      <c r="D32" s="63"/>
      <c r="E32" s="63"/>
      <c r="G32" s="139">
        <f>MOD(SUM(F31:M31)/SUM(F27:M27),360)</f>
        <v>187.55744512181366</v>
      </c>
      <c r="H32" s="63"/>
      <c r="I32" s="63"/>
      <c r="K32" s="139"/>
      <c r="L32" s="63"/>
      <c r="M32" s="63"/>
      <c r="O32" s="139">
        <f>MOD(SUM(N31:Q31)/SUM(N27:Q27),360)</f>
        <v>276.06083522303254</v>
      </c>
      <c r="P32" s="63"/>
      <c r="Q32" s="63"/>
      <c r="S32" s="139">
        <f>MOD(SUM(R31:Y31)/SUM(R27:Y27),360)</f>
        <v>283.51394663170873</v>
      </c>
      <c r="T32" s="63"/>
      <c r="U32" s="63"/>
      <c r="W32" s="139">
        <f>MOD(SUM(V31:Y31)/SUM(V27:Y27),360)</f>
        <v>282.62587198703562</v>
      </c>
      <c r="X32" s="63"/>
      <c r="Y32" s="63"/>
      <c r="Z32" s="139"/>
      <c r="AA32" s="63"/>
      <c r="AB32" s="63"/>
      <c r="AD32" s="139"/>
      <c r="AE32" s="63"/>
      <c r="AF32" s="63"/>
      <c r="AH32" s="139"/>
      <c r="AJ32" s="63"/>
    </row>
    <row r="33" spans="1:36" x14ac:dyDescent="0.3">
      <c r="A33" s="118" t="s">
        <v>121</v>
      </c>
      <c r="B33" s="118">
        <f>SQRT(SUMSQ(C33:E33)/SUM(C27:E27))</f>
        <v>0.52651431146112881</v>
      </c>
      <c r="C33" s="139">
        <f>C24-$C$32</f>
        <v>1.5583275416778406</v>
      </c>
      <c r="D33" s="63"/>
      <c r="E33" s="139">
        <f>E24-$C$32</f>
        <v>-0.15164806208019854</v>
      </c>
      <c r="F33" s="118">
        <f>SQRT(SUMSQ(G33:I33)/SUM(G27:I27))</f>
        <v>3.6543553065668668</v>
      </c>
      <c r="G33" s="139">
        <f>G24-$G$32</f>
        <v>10.802487352206583</v>
      </c>
      <c r="H33" s="63"/>
      <c r="I33" s="139">
        <f>I24-$G$32</f>
        <v>-1.181525394972482</v>
      </c>
      <c r="J33" s="118">
        <f>SQRT(SUMSQ(K33:M33)/SUM(K27:M27))</f>
        <v>39.460755318275723</v>
      </c>
      <c r="K33" s="139">
        <f>K24-$C$32</f>
        <v>-90.71928272431677</v>
      </c>
      <c r="L33" s="63"/>
      <c r="M33" s="139">
        <f>M24-$C$32</f>
        <v>-76.716149167570194</v>
      </c>
      <c r="N33" s="118">
        <f>SQRT(SUMSQ(O33:Q33)/SUM(O27:Q27))</f>
        <v>41.685544208152407</v>
      </c>
      <c r="O33" s="139">
        <f>O24-$G$32</f>
        <v>89.062554878186347</v>
      </c>
      <c r="P33" s="63"/>
      <c r="Q33" s="139">
        <f>Q24-$G$32</f>
        <v>88.429218945796265</v>
      </c>
      <c r="R33" s="118">
        <f>SQRT(SUMSQ(S33:U33)/SUM(S27:U27))</f>
        <v>43.802281545503291</v>
      </c>
      <c r="S33" s="139">
        <f>S24-$G$32</f>
        <v>98.198462859726192</v>
      </c>
      <c r="T33" s="63"/>
      <c r="U33" s="139">
        <f>U24-$G$32</f>
        <v>96.720143925899492</v>
      </c>
      <c r="V33" s="118">
        <f>SQRT(SUMSQ(W33:Y33)/SUM(W27:Y27))</f>
        <v>40.444470986071018</v>
      </c>
      <c r="W33" s="139">
        <f>W24-$G$32</f>
        <v>95.382254568484541</v>
      </c>
      <c r="X33" s="63"/>
      <c r="Y33" s="139">
        <f>Y24-$G$32</f>
        <v>94.981210607095306</v>
      </c>
      <c r="Z33" s="139"/>
      <c r="AA33" s="63"/>
      <c r="AB33" s="75"/>
      <c r="AD33" s="139"/>
      <c r="AE33" s="63"/>
      <c r="AF33" s="75"/>
      <c r="AH33" s="139"/>
      <c r="AJ33" s="75"/>
    </row>
    <row r="34" spans="1:36" s="164" customFormat="1" ht="75.75" customHeight="1" x14ac:dyDescent="0.3">
      <c r="A34" s="251" t="s">
        <v>40</v>
      </c>
      <c r="B34" s="384"/>
      <c r="C34" s="384"/>
      <c r="D34" s="65"/>
      <c r="E34" s="65"/>
      <c r="F34" s="384"/>
      <c r="G34" s="384"/>
      <c r="H34" s="65"/>
      <c r="I34" s="65"/>
      <c r="J34" s="384"/>
      <c r="K34" s="384"/>
      <c r="L34" s="65"/>
      <c r="M34" s="65"/>
      <c r="N34" s="384"/>
      <c r="O34" s="384"/>
      <c r="P34" s="65"/>
      <c r="Q34" s="65"/>
      <c r="R34" s="384"/>
      <c r="S34" s="384"/>
      <c r="T34" s="65"/>
      <c r="U34" s="65"/>
      <c r="V34" s="384"/>
      <c r="W34" s="384"/>
      <c r="X34" s="65"/>
      <c r="Y34" s="65"/>
    </row>
    <row r="35" spans="1:36" s="127" customFormat="1" x14ac:dyDescent="0.3">
      <c r="A35" s="120" t="s">
        <v>54</v>
      </c>
      <c r="B35" s="120"/>
      <c r="C35" s="120"/>
      <c r="D35" s="67"/>
      <c r="E35" s="67"/>
      <c r="F35" s="120"/>
      <c r="G35" s="120"/>
      <c r="H35" s="67"/>
      <c r="I35" s="67"/>
      <c r="J35" s="120"/>
      <c r="K35" s="120"/>
      <c r="L35" s="67"/>
      <c r="M35" s="67"/>
      <c r="N35" s="120"/>
      <c r="O35" s="120"/>
      <c r="P35" s="67"/>
      <c r="Q35" s="67"/>
      <c r="R35" s="120"/>
      <c r="S35" s="120"/>
      <c r="T35" s="67"/>
      <c r="U35" s="67"/>
      <c r="V35" s="120"/>
      <c r="W35" s="120"/>
      <c r="X35" s="67"/>
      <c r="Y35" s="67"/>
    </row>
    <row r="36" spans="1:36" x14ac:dyDescent="0.3">
      <c r="A36" s="139" t="s">
        <v>42</v>
      </c>
      <c r="C36" s="147">
        <f>C8*$C29</f>
        <v>0.71617301211148854</v>
      </c>
      <c r="D36" s="63" t="e">
        <f>A36*#REF!/A29</f>
        <v>#VALUE!</v>
      </c>
      <c r="E36" s="63" t="s">
        <v>358</v>
      </c>
      <c r="G36" s="147">
        <f>G8*$C29</f>
        <v>0.60034896080119793</v>
      </c>
      <c r="H36" s="63" t="e">
        <f>E36*#REF!/E29</f>
        <v>#VALUE!</v>
      </c>
      <c r="I36" s="63" t="s">
        <v>358</v>
      </c>
      <c r="K36" s="147">
        <f>K8*$C29</f>
        <v>1.2006979216023959</v>
      </c>
      <c r="L36" s="63" t="e">
        <f>I36*#REF!/I29</f>
        <v>#VALUE!</v>
      </c>
      <c r="M36" s="63" t="s">
        <v>358</v>
      </c>
      <c r="O36" s="147">
        <f>O8*$C29</f>
        <v>1.295119297192117</v>
      </c>
      <c r="P36" s="63" t="e">
        <f>M36*#REF!/M29</f>
        <v>#VALUE!</v>
      </c>
      <c r="Q36" s="63" t="s">
        <v>358</v>
      </c>
      <c r="S36" s="147">
        <f>S8*$C29</f>
        <v>2.4310445161759087</v>
      </c>
      <c r="T36" s="63" t="e">
        <f>Q36*#REF!/Q29</f>
        <v>#VALUE!</v>
      </c>
      <c r="U36" s="63" t="s">
        <v>358</v>
      </c>
      <c r="W36" s="147">
        <f>W8*$C29</f>
        <v>5.8661287822101711</v>
      </c>
      <c r="X36" s="63" t="e">
        <f>U36*#REF!/U29</f>
        <v>#VALUE!</v>
      </c>
      <c r="Y36" s="63" t="s">
        <v>358</v>
      </c>
      <c r="Z36" s="147"/>
      <c r="AD36" s="147"/>
      <c r="AH36" s="147"/>
    </row>
    <row r="37" spans="1:36" x14ac:dyDescent="0.3">
      <c r="A37" s="118" t="s">
        <v>50</v>
      </c>
      <c r="C37" s="141">
        <f>C36-C16</f>
        <v>0.10117301211148855</v>
      </c>
      <c r="D37" s="63"/>
      <c r="E37" s="63"/>
      <c r="G37" s="141">
        <f>G36-G16</f>
        <v>-1.4651039198802063E-2</v>
      </c>
      <c r="H37" s="63"/>
      <c r="I37" s="63"/>
      <c r="K37" s="141">
        <f>K36-K16</f>
        <v>7.3697921602395855E-2</v>
      </c>
      <c r="L37" s="63"/>
      <c r="M37" s="63"/>
      <c r="O37" s="141">
        <f>O36-O16</f>
        <v>0.16811929719211705</v>
      </c>
      <c r="P37" s="63"/>
      <c r="Q37" s="63"/>
      <c r="S37" s="141">
        <f>S36-S16</f>
        <v>6.1044516175908559E-2</v>
      </c>
      <c r="T37" s="63"/>
      <c r="U37" s="63"/>
      <c r="W37" s="141">
        <f>W36-W16</f>
        <v>6.3128782210171153E-2</v>
      </c>
      <c r="X37" s="63"/>
      <c r="Y37" s="63"/>
      <c r="Z37" s="141"/>
      <c r="AD37" s="141"/>
      <c r="AH37" s="141"/>
    </row>
    <row r="38" spans="1:36" x14ac:dyDescent="0.3">
      <c r="A38" s="118" t="s">
        <v>51</v>
      </c>
      <c r="C38" s="142">
        <f>C37/C16</f>
        <v>0.16450896278290822</v>
      </c>
      <c r="D38" s="63"/>
      <c r="E38" s="63"/>
      <c r="G38" s="142">
        <f>G37/G16</f>
        <v>-2.3822827965531809E-2</v>
      </c>
      <c r="H38" s="63"/>
      <c r="I38" s="63"/>
      <c r="K38" s="142">
        <f>K37/K16</f>
        <v>6.5393009407627198E-2</v>
      </c>
      <c r="L38" s="63"/>
      <c r="M38" s="63"/>
      <c r="O38" s="142">
        <f>O37/O16</f>
        <v>0.14917417674544547</v>
      </c>
      <c r="P38" s="63"/>
      <c r="Q38" s="63"/>
      <c r="S38" s="142">
        <f>S37/S16</f>
        <v>2.5757179821058462E-2</v>
      </c>
      <c r="T38" s="63"/>
      <c r="U38" s="63"/>
      <c r="W38" s="142">
        <f>W37/W16</f>
        <v>1.0878645909042074E-2</v>
      </c>
      <c r="X38" s="63"/>
      <c r="Y38" s="63"/>
      <c r="Z38" s="142"/>
      <c r="AD38" s="142"/>
      <c r="AH38" s="142"/>
    </row>
    <row r="39" spans="1:36" x14ac:dyDescent="0.3">
      <c r="A39" s="74" t="s">
        <v>53</v>
      </c>
      <c r="B39" s="118">
        <f>AVERAGE(B37:C37)</f>
        <v>0.10117301211148855</v>
      </c>
      <c r="C39" s="142">
        <f>AVERAGE(C38:C38)</f>
        <v>0.16450896278290822</v>
      </c>
      <c r="D39" s="63"/>
      <c r="E39" s="63"/>
      <c r="F39" s="118">
        <f>AVERAGE(F37:G37)</f>
        <v>-1.4651039198802063E-2</v>
      </c>
      <c r="G39" s="142">
        <f>AVERAGE(G38:G38)</f>
        <v>-2.3822827965531809E-2</v>
      </c>
      <c r="H39" s="63"/>
      <c r="I39" s="63"/>
      <c r="J39" s="118">
        <f>AVERAGE(J37:K37)</f>
        <v>7.3697921602395855E-2</v>
      </c>
      <c r="K39" s="142">
        <f>AVERAGE(K38:K38)</f>
        <v>6.5393009407627198E-2</v>
      </c>
      <c r="L39" s="63"/>
      <c r="M39" s="63"/>
      <c r="N39" s="118">
        <f>AVERAGE(N37:O37)</f>
        <v>0.16811929719211705</v>
      </c>
      <c r="O39" s="142">
        <f>AVERAGE(O38:O38)</f>
        <v>0.14917417674544547</v>
      </c>
      <c r="P39" s="63"/>
      <c r="Q39" s="63"/>
      <c r="R39" s="118">
        <f>AVERAGE(R37:S37)</f>
        <v>6.1044516175908559E-2</v>
      </c>
      <c r="S39" s="142">
        <f>AVERAGE(S38:S38)</f>
        <v>2.5757179821058462E-2</v>
      </c>
      <c r="T39" s="63"/>
      <c r="U39" s="63"/>
      <c r="V39" s="118">
        <f>AVERAGE(V37:W37)</f>
        <v>6.3128782210171153E-2</v>
      </c>
      <c r="W39" s="142">
        <f>AVERAGE(W38:W38)</f>
        <v>1.0878645909042074E-2</v>
      </c>
      <c r="X39" s="63"/>
      <c r="Y39" s="63"/>
      <c r="Z39" s="142"/>
      <c r="AD39" s="142"/>
      <c r="AH39" s="142"/>
    </row>
    <row r="40" spans="1:36" x14ac:dyDescent="0.3">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63"/>
      <c r="M40" s="63"/>
      <c r="N40" s="118" t="e">
        <f>STDEV(N37:O37)</f>
        <v>#DIV/0!</v>
      </c>
      <c r="O40" s="142" t="e">
        <f>STDEV(O38:O38)</f>
        <v>#DIV/0!</v>
      </c>
      <c r="P40" s="63"/>
      <c r="Q40" s="63"/>
      <c r="R40" s="118" t="e">
        <f>STDEV(R37:S37)</f>
        <v>#DIV/0!</v>
      </c>
      <c r="S40" s="142" t="e">
        <f>STDEV(S38:S38)</f>
        <v>#DIV/0!</v>
      </c>
      <c r="T40" s="63"/>
      <c r="U40" s="63"/>
      <c r="V40" s="118" t="e">
        <f>STDEV(V37:W37)</f>
        <v>#DIV/0!</v>
      </c>
      <c r="W40" s="142" t="e">
        <f>STDEV(W38:W38)</f>
        <v>#DIV/0!</v>
      </c>
      <c r="X40" s="63"/>
      <c r="Y40" s="63"/>
      <c r="Z40" s="142"/>
      <c r="AD40" s="142"/>
      <c r="AH40" s="142"/>
    </row>
    <row r="41" spans="1:36" x14ac:dyDescent="0.3">
      <c r="C41" s="142"/>
      <c r="D41" s="63"/>
      <c r="E41" s="63"/>
      <c r="G41" s="142"/>
      <c r="H41" s="63"/>
      <c r="I41" s="63"/>
      <c r="K41" s="142"/>
      <c r="L41" s="63"/>
      <c r="M41" s="63"/>
      <c r="O41" s="142"/>
      <c r="P41" s="63"/>
      <c r="Q41" s="63"/>
      <c r="S41" s="142"/>
      <c r="T41" s="63"/>
      <c r="U41" s="63"/>
      <c r="W41" s="142"/>
      <c r="X41" s="63"/>
      <c r="Y41" s="63"/>
      <c r="Z41" s="142"/>
      <c r="AD41" s="142"/>
      <c r="AH41" s="142"/>
    </row>
    <row r="42" spans="1:36" x14ac:dyDescent="0.3">
      <c r="A42" s="139" t="s">
        <v>43</v>
      </c>
      <c r="C42" s="141">
        <f>MOD(C9-$C32,360)</f>
        <v>174.50832754167783</v>
      </c>
      <c r="D42" s="63" t="e">
        <f>#REF!</f>
        <v>#REF!</v>
      </c>
      <c r="E42" s="141" t="s">
        <v>358</v>
      </c>
      <c r="G42" s="141">
        <f>MOD(G9-$G32,360)</f>
        <v>183.75248735220657</v>
      </c>
      <c r="H42" s="63" t="e">
        <f>#REF!</f>
        <v>#REF!</v>
      </c>
      <c r="I42" s="141" t="s">
        <v>358</v>
      </c>
      <c r="K42" s="141">
        <f>MOD(K9-$G32,360)</f>
        <v>161.13262240416611</v>
      </c>
      <c r="L42" s="63" t="e">
        <f>#REF!</f>
        <v>#REF!</v>
      </c>
      <c r="M42" s="141" t="s">
        <v>358</v>
      </c>
      <c r="O42" s="141">
        <f>MOD(O9-$O32,360)</f>
        <v>173.93916477696746</v>
      </c>
      <c r="P42" s="63" t="e">
        <f>#REF!</f>
        <v>#REF!</v>
      </c>
      <c r="Q42" s="141" t="s">
        <v>358</v>
      </c>
      <c r="S42" s="141">
        <f>MOD(S9-$S32,360)</f>
        <v>7.7819613498311355</v>
      </c>
      <c r="T42" s="63" t="e">
        <f>#REF!</f>
        <v>#REF!</v>
      </c>
      <c r="U42" s="141" t="s">
        <v>358</v>
      </c>
      <c r="W42" s="141">
        <f>MOD(W9-$S32,360)</f>
        <v>130.40575305858948</v>
      </c>
      <c r="X42" s="63" t="e">
        <f>#REF!</f>
        <v>#REF!</v>
      </c>
      <c r="Y42" s="141" t="s">
        <v>358</v>
      </c>
      <c r="Z42" s="141"/>
      <c r="AD42" s="141"/>
      <c r="AH42" s="141"/>
    </row>
    <row r="43" spans="1:36" x14ac:dyDescent="0.3">
      <c r="A43" s="118" t="s">
        <v>55</v>
      </c>
      <c r="C43" s="141">
        <f>C42-C17</f>
        <v>1.5583275416778406</v>
      </c>
      <c r="E43" s="141"/>
      <c r="G43" s="141">
        <f>G42-G17</f>
        <v>10.802487352206583</v>
      </c>
      <c r="I43" s="141"/>
      <c r="K43" s="141">
        <f>K42-K17</f>
        <v>-12.247377595833882</v>
      </c>
      <c r="M43" s="141"/>
      <c r="O43" s="141">
        <f>O42-O17</f>
        <v>0.55916477696746369</v>
      </c>
      <c r="Q43" s="141"/>
      <c r="S43" s="141">
        <f>S42-S17</f>
        <v>2.2419613498311355</v>
      </c>
      <c r="U43" s="141"/>
      <c r="W43" s="141">
        <f>W42-W17</f>
        <v>-0.57424694141050736</v>
      </c>
      <c r="Y43" s="141"/>
      <c r="Z43" s="141"/>
      <c r="AD43" s="141"/>
      <c r="AH43" s="141"/>
    </row>
    <row r="44" spans="1:36" x14ac:dyDescent="0.3">
      <c r="A44" s="118" t="s">
        <v>56</v>
      </c>
      <c r="B44" s="118">
        <f>AVERAGE(B43:C43)</f>
        <v>1.5583275416778406</v>
      </c>
      <c r="C44" s="141"/>
      <c r="E44" s="141"/>
      <c r="F44" s="118">
        <f>AVERAGE(F43:G43)</f>
        <v>10.802487352206583</v>
      </c>
      <c r="G44" s="141"/>
      <c r="I44" s="141"/>
      <c r="J44" s="118">
        <f>AVERAGE(J43:K43)</f>
        <v>-12.247377595833882</v>
      </c>
      <c r="K44" s="141"/>
      <c r="M44" s="141"/>
      <c r="N44" s="118">
        <f>AVERAGE(N43:O43)</f>
        <v>0.55916477696746369</v>
      </c>
      <c r="O44" s="141"/>
      <c r="Q44" s="141"/>
      <c r="R44" s="118">
        <f>AVERAGE(R43:S43)</f>
        <v>2.2419613498311355</v>
      </c>
      <c r="S44" s="141"/>
      <c r="U44" s="141"/>
      <c r="V44" s="118">
        <f>AVERAGE(V43:W43)</f>
        <v>-0.57424694141050736</v>
      </c>
      <c r="W44" s="141"/>
      <c r="Y44" s="141"/>
      <c r="Z44" s="141"/>
      <c r="AD44" s="141"/>
      <c r="AH44" s="141"/>
    </row>
    <row r="45" spans="1:36" x14ac:dyDescent="0.3">
      <c r="A45" s="118" t="s">
        <v>57</v>
      </c>
      <c r="B45" s="118" t="e">
        <f>STDEV(B43:C43)</f>
        <v>#DIV/0!</v>
      </c>
      <c r="C45" s="141"/>
      <c r="E45" s="141"/>
      <c r="F45" s="118" t="e">
        <f>STDEV(F43:G43)</f>
        <v>#DIV/0!</v>
      </c>
      <c r="G45" s="141"/>
      <c r="I45" s="141"/>
      <c r="J45" s="118" t="e">
        <f>STDEV(J43:K43)</f>
        <v>#DIV/0!</v>
      </c>
      <c r="K45" s="141"/>
      <c r="M45" s="141"/>
      <c r="N45" s="118" t="e">
        <f>STDEV(N43:O43)</f>
        <v>#DIV/0!</v>
      </c>
      <c r="O45" s="141"/>
      <c r="Q45" s="141"/>
      <c r="R45" s="118" t="e">
        <f>STDEV(R43:S43)</f>
        <v>#DIV/0!</v>
      </c>
      <c r="S45" s="141"/>
      <c r="U45" s="141"/>
      <c r="V45" s="118" t="e">
        <f>STDEV(V43:W43)</f>
        <v>#DIV/0!</v>
      </c>
      <c r="W45" s="141"/>
      <c r="Y45" s="141"/>
      <c r="Z45" s="141"/>
      <c r="AD45" s="141"/>
      <c r="AH45" s="141"/>
    </row>
    <row r="46" spans="1:36" x14ac:dyDescent="0.3">
      <c r="C46" s="141"/>
      <c r="E46" s="141"/>
      <c r="G46" s="141"/>
      <c r="I46" s="141"/>
      <c r="K46" s="141"/>
      <c r="M46" s="141"/>
      <c r="O46" s="141"/>
      <c r="Q46" s="141"/>
      <c r="S46" s="141"/>
      <c r="U46" s="141"/>
      <c r="W46" s="141"/>
      <c r="Y46" s="141"/>
      <c r="Z46" s="141"/>
      <c r="AD46" s="141"/>
      <c r="AH46" s="141"/>
    </row>
    <row r="47" spans="1:36" x14ac:dyDescent="0.3">
      <c r="A47" s="118" t="s">
        <v>44</v>
      </c>
      <c r="B47" s="72">
        <f>-C36*SIN((C42)/180*PI())</f>
        <v>-6.8538529019958105E-2</v>
      </c>
      <c r="C47" s="72">
        <f>C36*COS((C42)/180*PI())</f>
        <v>-0.71288586275547827</v>
      </c>
      <c r="D47" s="72"/>
      <c r="E47" s="72"/>
      <c r="F47" s="72">
        <f>-G36*SIN((G42)/180*PI())</f>
        <v>3.9290707467993215E-2</v>
      </c>
      <c r="G47" s="72">
        <f>G36*COS((G42)/180*PI())</f>
        <v>-0.59906186244973303</v>
      </c>
      <c r="H47" s="72"/>
      <c r="I47" s="72"/>
      <c r="J47" s="72">
        <f>-K36*SIN((K42)/180*PI())</f>
        <v>-0.38828012655888489</v>
      </c>
      <c r="K47" s="72">
        <f>K36*COS((K42)/180*PI())</f>
        <v>-1.1361839825748863</v>
      </c>
      <c r="L47" s="72"/>
      <c r="M47" s="72"/>
      <c r="N47" s="72">
        <f>-O36*SIN((O42)/180*PI())</f>
        <v>-0.13674434545546182</v>
      </c>
      <c r="O47" s="72">
        <f>O36*COS((O42)/180*PI())</f>
        <v>-1.2878800324352266</v>
      </c>
      <c r="P47" s="72"/>
      <c r="Q47" s="72"/>
      <c r="R47" s="72">
        <f>-S36*SIN((S42)/180*PI())</f>
        <v>-0.3291722880839702</v>
      </c>
      <c r="S47" s="72">
        <f>S36*COS((S42)/180*PI())</f>
        <v>2.4086558584377555</v>
      </c>
      <c r="T47" s="72"/>
      <c r="U47" s="72"/>
      <c r="V47" s="72">
        <f>-W36*SIN((W42)/180*PI())</f>
        <v>-4.4669000085010548</v>
      </c>
      <c r="W47" s="72">
        <f>W36*COS((W42)/180*PI())</f>
        <v>-3.8024033457180564</v>
      </c>
      <c r="X47" s="72"/>
      <c r="Y47" s="72"/>
      <c r="Z47" s="72"/>
      <c r="AC47" s="72"/>
      <c r="AD47" s="72"/>
      <c r="AG47" s="72"/>
      <c r="AH47" s="72"/>
    </row>
    <row r="48" spans="1:36" s="129" customFormat="1" x14ac:dyDescent="0.3">
      <c r="A48" s="118" t="s">
        <v>45</v>
      </c>
      <c r="B48" s="72">
        <f>B47-B18</f>
        <v>6.9437769163560314E-3</v>
      </c>
      <c r="C48" s="72">
        <f>C47-C18</f>
        <v>-0.10253561782185272</v>
      </c>
      <c r="D48" s="72"/>
      <c r="E48" s="72"/>
      <c r="F48" s="72">
        <f>F47-F18</f>
        <v>0.11477301340430734</v>
      </c>
      <c r="G48" s="72">
        <f>G47-G18</f>
        <v>1.1288382483892523E-2</v>
      </c>
      <c r="H48" s="72"/>
      <c r="I48" s="72"/>
      <c r="J48" s="72">
        <f>J47-J18</f>
        <v>-0.25835517577517886</v>
      </c>
      <c r="K48" s="72">
        <f>K47-K18</f>
        <v>-1.6698159902776011E-2</v>
      </c>
      <c r="L48" s="72"/>
      <c r="M48" s="72"/>
      <c r="N48" s="72">
        <f>N47-N18</f>
        <v>-6.8193946717557963E-3</v>
      </c>
      <c r="O48" s="72">
        <f>O47-O18</f>
        <v>-0.16839420976311636</v>
      </c>
      <c r="P48" s="72"/>
      <c r="Q48" s="72"/>
      <c r="R48" s="72">
        <f>R47-R18</f>
        <v>-0.10037095529196649</v>
      </c>
      <c r="S48" s="72">
        <f>S47-S18</f>
        <v>4.9726026901301346E-2</v>
      </c>
      <c r="T48" s="72"/>
      <c r="U48" s="72"/>
      <c r="V48" s="72">
        <f>V47-V18</f>
        <v>-8.5991649034512285E-2</v>
      </c>
      <c r="W48" s="72">
        <f>W47-W18</f>
        <v>3.1782058921794309E-3</v>
      </c>
      <c r="X48" s="72"/>
      <c r="Y48" s="72"/>
      <c r="Z48" s="72"/>
      <c r="AC48" s="72"/>
      <c r="AD48" s="72"/>
      <c r="AG48" s="72"/>
      <c r="AH48" s="72"/>
    </row>
    <row r="49" spans="1:34" x14ac:dyDescent="0.3">
      <c r="A49" s="118" t="s">
        <v>46</v>
      </c>
      <c r="B49" s="118">
        <f>B48^2</f>
        <v>4.8216037864118877E-5</v>
      </c>
      <c r="C49" s="118">
        <f>C48^2</f>
        <v>1.0513552922109041E-2</v>
      </c>
      <c r="F49" s="118">
        <f>F48^2</f>
        <v>1.3172844605905313E-2</v>
      </c>
      <c r="G49" s="118">
        <f>G48^2</f>
        <v>1.2742757910265152E-4</v>
      </c>
      <c r="J49" s="118">
        <f>J48^2</f>
        <v>6.6747396849823559E-2</v>
      </c>
      <c r="K49" s="118">
        <f>K48^2</f>
        <v>2.7882854413867656E-4</v>
      </c>
      <c r="N49" s="118">
        <f>N48^2</f>
        <v>4.6504143689171348E-5</v>
      </c>
      <c r="O49" s="118">
        <f>O48^2</f>
        <v>2.8356609881744436E-2</v>
      </c>
      <c r="R49" s="118">
        <f>R48^2</f>
        <v>1.0074328666221936E-2</v>
      </c>
      <c r="S49" s="118">
        <f>S48^2</f>
        <v>2.4726777513889449E-3</v>
      </c>
      <c r="V49" s="118">
        <f>V48^2</f>
        <v>7.3945637036747372E-3</v>
      </c>
      <c r="W49" s="118">
        <f>W48^2</f>
        <v>1.0100992693084052E-5</v>
      </c>
    </row>
    <row r="50" spans="1:34" s="129" customFormat="1" x14ac:dyDescent="0.3">
      <c r="A50" s="118" t="s">
        <v>47</v>
      </c>
      <c r="B50" s="72"/>
      <c r="C50" s="72">
        <f>SQRT(B49+C49)</f>
        <v>0.10277046735309303</v>
      </c>
      <c r="D50" s="72"/>
      <c r="E50" s="72"/>
      <c r="F50" s="72"/>
      <c r="G50" s="72">
        <f>SQRT(F49+G49)</f>
        <v>0.11532680601234027</v>
      </c>
      <c r="H50" s="72"/>
      <c r="I50" s="72"/>
      <c r="J50" s="72"/>
      <c r="K50" s="72">
        <f>SQRT(J49+K49)</f>
        <v>0.25889423592262967</v>
      </c>
      <c r="L50" s="72"/>
      <c r="M50" s="72"/>
      <c r="N50" s="72"/>
      <c r="O50" s="72">
        <f>SQRT(N49+O49)</f>
        <v>0.16853223438094447</v>
      </c>
      <c r="P50" s="72"/>
      <c r="Q50" s="72"/>
      <c r="R50" s="72"/>
      <c r="S50" s="72">
        <f>SQRT(R49+S49)</f>
        <v>0.1120134207031054</v>
      </c>
      <c r="T50" s="72"/>
      <c r="U50" s="72"/>
      <c r="V50" s="72"/>
      <c r="W50" s="72">
        <f>SQRT(V49+W49)</f>
        <v>8.6050361395916403E-2</v>
      </c>
      <c r="X50" s="72"/>
      <c r="Y50" s="72"/>
      <c r="Z50" s="72"/>
      <c r="AC50" s="72"/>
      <c r="AD50" s="72"/>
      <c r="AG50" s="72"/>
      <c r="AH50" s="72"/>
    </row>
    <row r="51" spans="1:34" s="129" customFormat="1" x14ac:dyDescent="0.3">
      <c r="A51" s="118" t="s">
        <v>48</v>
      </c>
      <c r="B51" s="72"/>
      <c r="C51" s="77">
        <f>C50/C36</f>
        <v>0.14349949748887561</v>
      </c>
      <c r="D51" s="72"/>
      <c r="E51" s="77"/>
      <c r="F51" s="72"/>
      <c r="G51" s="77">
        <f>G50/G36</f>
        <v>0.19209961795957881</v>
      </c>
      <c r="H51" s="72"/>
      <c r="I51" s="77"/>
      <c r="J51" s="72"/>
      <c r="K51" s="77">
        <f>K50/K36</f>
        <v>0.21561979184333177</v>
      </c>
      <c r="L51" s="72"/>
      <c r="M51" s="77"/>
      <c r="N51" s="72"/>
      <c r="O51" s="77">
        <f>O50/O36</f>
        <v>0.13012873389063906</v>
      </c>
      <c r="P51" s="72"/>
      <c r="Q51" s="77"/>
      <c r="R51" s="72"/>
      <c r="S51" s="77">
        <f>S50/S36</f>
        <v>4.6076252391834105E-2</v>
      </c>
      <c r="T51" s="72"/>
      <c r="U51" s="77"/>
      <c r="V51" s="72"/>
      <c r="W51" s="77">
        <f>W50/W36</f>
        <v>1.4669020164861666E-2</v>
      </c>
      <c r="X51" s="72"/>
      <c r="Y51" s="77"/>
      <c r="Z51" s="77"/>
      <c r="AC51" s="72"/>
      <c r="AD51" s="77"/>
      <c r="AG51" s="72"/>
      <c r="AH51" s="77"/>
    </row>
    <row r="52" spans="1:34" s="129" customFormat="1" x14ac:dyDescent="0.3">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144"/>
      <c r="AC52" s="72"/>
      <c r="AD52" s="144"/>
      <c r="AG52" s="72"/>
      <c r="AH52" s="144"/>
    </row>
    <row r="53" spans="1:34" s="129" customFormat="1" x14ac:dyDescent="0.3">
      <c r="A53" s="118" t="s">
        <v>89</v>
      </c>
      <c r="B53" s="72">
        <f>MEDIAN(B50:C50)</f>
        <v>0.10277046735309303</v>
      </c>
      <c r="C53" s="144"/>
      <c r="D53" s="72"/>
      <c r="E53" s="144"/>
      <c r="F53" s="72">
        <f>MEDIAN(F50:G50)</f>
        <v>0.11532680601234027</v>
      </c>
      <c r="G53" s="144"/>
      <c r="H53" s="72"/>
      <c r="I53" s="144"/>
      <c r="J53" s="72">
        <f>MEDIAN(J50:K50)</f>
        <v>0.25889423592262967</v>
      </c>
      <c r="K53" s="144"/>
      <c r="L53" s="72"/>
      <c r="M53" s="144"/>
      <c r="N53" s="72">
        <f>MEDIAN(N50:O50)</f>
        <v>0.16853223438094447</v>
      </c>
      <c r="O53" s="144"/>
      <c r="P53" s="72"/>
      <c r="Q53" s="144"/>
      <c r="R53" s="72">
        <f>MEDIAN(R50:S50)</f>
        <v>0.1120134207031054</v>
      </c>
      <c r="S53" s="144"/>
      <c r="T53" s="72"/>
      <c r="U53" s="144"/>
      <c r="V53" s="72">
        <f>MEDIAN(V50:W50)</f>
        <v>8.6050361395916403E-2</v>
      </c>
      <c r="W53" s="144"/>
      <c r="X53" s="72"/>
      <c r="Y53" s="144"/>
      <c r="Z53" s="144"/>
      <c r="AC53" s="72"/>
      <c r="AD53" s="144"/>
      <c r="AG53" s="72"/>
      <c r="AH53" s="144"/>
    </row>
    <row r="54" spans="1:34" s="129" customFormat="1" x14ac:dyDescent="0.3">
      <c r="A54" s="118" t="s">
        <v>81</v>
      </c>
      <c r="B54" s="72">
        <f>AVERAGE(B50:C50)</f>
        <v>0.10277046735309303</v>
      </c>
      <c r="C54" s="144"/>
      <c r="D54" s="72"/>
      <c r="E54" s="144"/>
      <c r="F54" s="72">
        <f>AVERAGE(F50:G50)</f>
        <v>0.11532680601234027</v>
      </c>
      <c r="G54" s="144"/>
      <c r="H54" s="72"/>
      <c r="I54" s="144"/>
      <c r="J54" s="72">
        <f>AVERAGE(J50:K50)</f>
        <v>0.25889423592262967</v>
      </c>
      <c r="K54" s="144"/>
      <c r="L54" s="72"/>
      <c r="M54" s="144"/>
      <c r="N54" s="72">
        <f>AVERAGE(N50:O50)</f>
        <v>0.16853223438094447</v>
      </c>
      <c r="O54" s="144"/>
      <c r="P54" s="72"/>
      <c r="Q54" s="144"/>
      <c r="R54" s="72">
        <f>AVERAGE(R50:S50)</f>
        <v>0.1120134207031054</v>
      </c>
      <c r="S54" s="144"/>
      <c r="T54" s="72"/>
      <c r="U54" s="144"/>
      <c r="V54" s="72">
        <f>AVERAGE(V50:W50)</f>
        <v>8.6050361395916403E-2</v>
      </c>
      <c r="W54" s="144"/>
      <c r="X54" s="72"/>
      <c r="Y54" s="144"/>
      <c r="Z54" s="144"/>
      <c r="AC54" s="72"/>
      <c r="AD54" s="144"/>
      <c r="AG54" s="72"/>
      <c r="AH54" s="144"/>
    </row>
    <row r="55" spans="1:34" s="129" customFormat="1" x14ac:dyDescent="0.3">
      <c r="A55" s="118" t="s">
        <v>82</v>
      </c>
      <c r="B55" s="72" t="e">
        <f>STDEV(B50:C50)</f>
        <v>#DIV/0!</v>
      </c>
      <c r="C55" s="144"/>
      <c r="D55" s="72"/>
      <c r="E55" s="144"/>
      <c r="F55" s="72" t="e">
        <f>STDEV(F50:G50)</f>
        <v>#DIV/0!</v>
      </c>
      <c r="G55" s="144"/>
      <c r="H55" s="72"/>
      <c r="I55" s="144"/>
      <c r="J55" s="72" t="e">
        <f>STDEV(J50:K50)</f>
        <v>#DIV/0!</v>
      </c>
      <c r="K55" s="144"/>
      <c r="L55" s="72"/>
      <c r="M55" s="144"/>
      <c r="N55" s="72" t="e">
        <f>STDEV(N50:O50)</f>
        <v>#DIV/0!</v>
      </c>
      <c r="O55" s="144"/>
      <c r="P55" s="72"/>
      <c r="Q55" s="144"/>
      <c r="R55" s="72" t="e">
        <f>STDEV(R50:S50)</f>
        <v>#DIV/0!</v>
      </c>
      <c r="S55" s="144"/>
      <c r="T55" s="72"/>
      <c r="U55" s="144"/>
      <c r="V55" s="72" t="e">
        <f>STDEV(V50:W50)</f>
        <v>#DIV/0!</v>
      </c>
      <c r="W55" s="144"/>
      <c r="X55" s="72"/>
      <c r="Y55" s="144"/>
      <c r="Z55" s="144"/>
      <c r="AC55" s="72"/>
      <c r="AD55" s="144"/>
      <c r="AG55" s="72"/>
      <c r="AH55" s="144"/>
    </row>
    <row r="56" spans="1:34" s="129" customFormat="1" x14ac:dyDescent="0.3">
      <c r="A56" s="118" t="s">
        <v>83</v>
      </c>
      <c r="B56" s="72"/>
      <c r="C56" s="144"/>
      <c r="D56" s="144"/>
      <c r="E56" s="144"/>
      <c r="F56" s="72"/>
      <c r="G56" s="144"/>
      <c r="H56" s="144"/>
      <c r="I56" s="144"/>
      <c r="J56" s="72"/>
      <c r="K56" s="144"/>
      <c r="L56" s="144"/>
      <c r="M56" s="144"/>
      <c r="N56" s="72"/>
      <c r="O56" s="144"/>
      <c r="P56" s="144"/>
      <c r="Q56" s="144"/>
      <c r="R56" s="72"/>
      <c r="S56" s="144"/>
      <c r="T56" s="144"/>
      <c r="U56" s="144"/>
      <c r="V56" s="72"/>
      <c r="W56" s="144"/>
      <c r="X56" s="144"/>
      <c r="Y56" s="144"/>
      <c r="Z56" s="144"/>
      <c r="AC56" s="72"/>
      <c r="AD56" s="144"/>
      <c r="AG56" s="72"/>
      <c r="AH56" s="144"/>
    </row>
    <row r="57" spans="1:34" s="129" customFormat="1" x14ac:dyDescent="0.3">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C57" s="72"/>
      <c r="AD57" s="72"/>
      <c r="AG57" s="72"/>
      <c r="AH57" s="72"/>
    </row>
    <row r="58" spans="1:34" s="129" customFormat="1" x14ac:dyDescent="0.3">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C58" s="139"/>
      <c r="AD58" s="139"/>
      <c r="AG58" s="139"/>
      <c r="AH58" s="139"/>
    </row>
    <row r="59" spans="1:34" x14ac:dyDescent="0.3">
      <c r="A59" s="139" t="s">
        <v>115</v>
      </c>
      <c r="B59" s="166">
        <f>AVERAGE(C36,G36)</f>
        <v>0.65826098645634323</v>
      </c>
      <c r="C59" s="141">
        <f>AVERAGE(C37:I37)</f>
        <v>4.3260986456343242E-2</v>
      </c>
      <c r="D59" s="302">
        <f>AVERAGE(C38:I38)</f>
        <v>7.0343067408688204E-2</v>
      </c>
      <c r="F59" s="166"/>
      <c r="G59" s="141"/>
      <c r="H59" s="302"/>
      <c r="J59" s="166">
        <f>AVERAGE(K36,O36)</f>
        <v>1.2479086093972565</v>
      </c>
      <c r="K59" s="141">
        <f>AVERAGE(K37:M37)</f>
        <v>7.3697921602395855E-2</v>
      </c>
      <c r="L59" s="302">
        <f>AVERAGE(K38:M38)</f>
        <v>6.5393009407627198E-2</v>
      </c>
      <c r="N59" s="166"/>
      <c r="O59" s="141"/>
      <c r="P59" s="302"/>
      <c r="R59" s="166"/>
      <c r="S59" s="141">
        <f>AVERAGE(S37:U37)</f>
        <v>6.1044516175908559E-2</v>
      </c>
      <c r="T59" s="302">
        <f>AVERAGE(S38:U38)</f>
        <v>2.5757179821058462E-2</v>
      </c>
      <c r="V59" s="166"/>
      <c r="W59" s="141"/>
      <c r="X59" s="302"/>
      <c r="AC59" s="166"/>
      <c r="AG59" s="166"/>
    </row>
    <row r="60" spans="1:34" x14ac:dyDescent="0.3">
      <c r="A60" s="129" t="s">
        <v>116</v>
      </c>
      <c r="B60" s="166">
        <f>STDEV(C36,G36)</f>
        <v>8.1899972106005123E-2</v>
      </c>
      <c r="C60" s="118">
        <f>STDEV(C37:I37)</f>
        <v>8.1899972106005109E-2</v>
      </c>
      <c r="D60" s="118">
        <f>STDEV(C38:I38)</f>
        <v>0.13317068635122783</v>
      </c>
      <c r="F60" s="166"/>
      <c r="J60" s="166">
        <f>STDEV(K36,O36)</f>
        <v>6.6765994968453798E-2</v>
      </c>
      <c r="K60" s="118">
        <f>STDEV(K37:Q37)</f>
        <v>6.6765994968453812E-2</v>
      </c>
      <c r="L60" s="118">
        <f>STDEV(K38:Q38)</f>
        <v>5.9242231560296156E-2</v>
      </c>
      <c r="N60" s="166"/>
      <c r="R60" s="166"/>
      <c r="S60" s="118">
        <f>STDEV(S37:Y37)</f>
        <v>1.4737986466238733E-3</v>
      </c>
      <c r="T60" s="118">
        <f>STDEV(S38:Y38)</f>
        <v>1.0520712223300812E-2</v>
      </c>
      <c r="V60" s="166"/>
      <c r="AC60" s="166"/>
      <c r="AG60" s="166"/>
    </row>
    <row r="61" spans="1:34" x14ac:dyDescent="0.3">
      <c r="A61" s="129" t="s">
        <v>117</v>
      </c>
      <c r="B61" s="166">
        <f>AVERAGE(C42,G42)</f>
        <v>179.1304074469422</v>
      </c>
      <c r="F61" s="166"/>
      <c r="J61" s="166">
        <f>AVERAGE(K42,O42)</f>
        <v>167.53589359056679</v>
      </c>
      <c r="N61" s="166"/>
      <c r="R61" s="166"/>
      <c r="V61" s="166"/>
      <c r="AC61" s="166"/>
      <c r="AG61" s="166"/>
    </row>
    <row r="62" spans="1:34" x14ac:dyDescent="0.3">
      <c r="A62" s="129" t="s">
        <v>118</v>
      </c>
      <c r="B62" s="166">
        <f>STDEV(C42,G42)</f>
        <v>6.5366080883970241</v>
      </c>
      <c r="F62" s="166"/>
      <c r="J62" s="166">
        <f>STDEV(K42,O42)</f>
        <v>9.0555929553606909</v>
      </c>
      <c r="N62" s="166"/>
      <c r="R62" s="166"/>
      <c r="V62" s="166"/>
      <c r="AC62" s="166"/>
      <c r="AG62" s="166"/>
    </row>
  </sheetData>
  <mergeCells count="26">
    <mergeCell ref="B10:C10"/>
    <mergeCell ref="D10:E10"/>
    <mergeCell ref="R19:S19"/>
    <mergeCell ref="R34:S34"/>
    <mergeCell ref="V10:W10"/>
    <mergeCell ref="X10:Y10"/>
    <mergeCell ref="V19:W19"/>
    <mergeCell ref="V34:W34"/>
    <mergeCell ref="F10:G10"/>
    <mergeCell ref="H10:I10"/>
    <mergeCell ref="AC10:AD10"/>
    <mergeCell ref="AG10:AH10"/>
    <mergeCell ref="B19:C19"/>
    <mergeCell ref="B34:C34"/>
    <mergeCell ref="N10:O10"/>
    <mergeCell ref="P10:Q10"/>
    <mergeCell ref="N19:O19"/>
    <mergeCell ref="N34:O34"/>
    <mergeCell ref="R10:S10"/>
    <mergeCell ref="T10:U10"/>
    <mergeCell ref="F19:G19"/>
    <mergeCell ref="F34:G34"/>
    <mergeCell ref="J10:K10"/>
    <mergeCell ref="L10:M10"/>
    <mergeCell ref="J19:K19"/>
    <mergeCell ref="J34:K34"/>
  </mergeCells>
  <pageMargins left="0.7" right="0.7" top="0.75" bottom="0.75" header="0.3" footer="0.3"/>
  <pageSetup scale="2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35" activePane="bottomRight" state="frozenSplit"/>
      <selection pane="topRight"/>
      <selection pane="bottomLeft" activeCell="A3" sqref="A3"/>
      <selection pane="bottomRight" activeCell="AE59" sqref="AE59"/>
    </sheetView>
  </sheetViews>
  <sheetFormatPr defaultColWidth="9.109375" defaultRowHeight="14.4" x14ac:dyDescent="0.3"/>
  <cols>
    <col min="1" max="1" width="28" style="118" customWidth="1"/>
    <col min="2" max="13" width="11.6640625" style="118" customWidth="1"/>
    <col min="14" max="15" width="11.6640625" style="311" customWidth="1"/>
    <col min="16"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400</v>
      </c>
      <c r="E2" s="116" t="s">
        <v>401</v>
      </c>
      <c r="G2" s="116" t="s">
        <v>402</v>
      </c>
      <c r="H2" s="116"/>
      <c r="I2" s="116" t="s">
        <v>403</v>
      </c>
      <c r="J2" s="116"/>
      <c r="K2" s="116" t="s">
        <v>404</v>
      </c>
      <c r="M2" s="116" t="s">
        <v>405</v>
      </c>
      <c r="N2" s="310"/>
      <c r="O2" s="310" t="s">
        <v>406</v>
      </c>
      <c r="Q2" s="116" t="s">
        <v>408</v>
      </c>
      <c r="R2" s="310"/>
      <c r="S2" s="310" t="s">
        <v>407</v>
      </c>
      <c r="U2" s="116" t="s">
        <v>413</v>
      </c>
      <c r="V2" s="310"/>
      <c r="W2" s="310" t="s">
        <v>409</v>
      </c>
      <c r="Y2" s="116" t="s">
        <v>410</v>
      </c>
      <c r="Z2" s="116"/>
      <c r="AA2" s="116" t="s">
        <v>411</v>
      </c>
      <c r="AC2" s="116" t="s">
        <v>412</v>
      </c>
      <c r="AD2" s="116"/>
      <c r="AE2" s="116" t="s">
        <v>415</v>
      </c>
      <c r="AG2" s="116" t="s">
        <v>416</v>
      </c>
      <c r="AH2" s="116"/>
      <c r="AI2" s="116" t="s">
        <v>417</v>
      </c>
      <c r="AK2" s="116" t="s">
        <v>418</v>
      </c>
      <c r="AL2" s="116"/>
      <c r="AM2" s="116" t="s">
        <v>419</v>
      </c>
      <c r="AO2" s="116" t="s">
        <v>420</v>
      </c>
    </row>
    <row r="3" spans="1:44" s="249" customFormat="1" x14ac:dyDescent="0.3">
      <c r="B3" s="116" t="s">
        <v>61</v>
      </c>
      <c r="C3" s="116" t="s">
        <v>60</v>
      </c>
      <c r="D3" s="61"/>
      <c r="E3" s="61"/>
      <c r="F3" s="61"/>
      <c r="G3" s="61"/>
      <c r="H3" s="116" t="s">
        <v>61</v>
      </c>
      <c r="I3" s="116" t="s">
        <v>60</v>
      </c>
      <c r="J3" s="116" t="s">
        <v>61</v>
      </c>
      <c r="K3" s="116" t="s">
        <v>60</v>
      </c>
      <c r="L3" s="61"/>
      <c r="M3" s="61"/>
      <c r="N3" s="310" t="s">
        <v>61</v>
      </c>
      <c r="O3" s="310" t="s">
        <v>60</v>
      </c>
      <c r="P3" s="61"/>
      <c r="Q3" s="61"/>
      <c r="R3" s="310" t="s">
        <v>61</v>
      </c>
      <c r="S3" s="310" t="s">
        <v>60</v>
      </c>
      <c r="T3" s="61"/>
      <c r="U3" s="61"/>
      <c r="V3" s="310" t="s">
        <v>61</v>
      </c>
      <c r="W3" s="310" t="s">
        <v>60</v>
      </c>
      <c r="X3" s="61"/>
      <c r="Y3" s="61"/>
      <c r="Z3" s="116" t="s">
        <v>61</v>
      </c>
      <c r="AA3" s="116" t="s">
        <v>60</v>
      </c>
      <c r="AB3" s="61"/>
      <c r="AC3" s="61"/>
      <c r="AD3" s="116" t="s">
        <v>61</v>
      </c>
      <c r="AE3" s="116" t="s">
        <v>60</v>
      </c>
      <c r="AF3" s="61"/>
      <c r="AG3" s="61"/>
      <c r="AH3" s="116" t="s">
        <v>61</v>
      </c>
      <c r="AI3" s="116" t="s">
        <v>60</v>
      </c>
      <c r="AJ3" s="61"/>
      <c r="AK3" s="61"/>
      <c r="AL3" s="116" t="s">
        <v>61</v>
      </c>
      <c r="AM3" s="116" t="s">
        <v>60</v>
      </c>
      <c r="AN3" s="61"/>
      <c r="AO3" s="61"/>
    </row>
    <row r="4" spans="1:44" x14ac:dyDescent="0.3">
      <c r="A4" s="118" t="s">
        <v>1</v>
      </c>
      <c r="B4" s="118">
        <v>636.66</v>
      </c>
      <c r="C4" s="118">
        <v>630.57000000000005</v>
      </c>
      <c r="D4" s="63">
        <v>232</v>
      </c>
      <c r="E4" s="63">
        <v>485</v>
      </c>
      <c r="F4" s="63">
        <v>317</v>
      </c>
      <c r="G4" s="63">
        <v>482</v>
      </c>
      <c r="H4" s="118">
        <v>405</v>
      </c>
      <c r="I4" s="118">
        <v>538</v>
      </c>
      <c r="J4" s="118">
        <v>594.9</v>
      </c>
      <c r="K4" s="118">
        <v>382.7</v>
      </c>
      <c r="L4" s="63">
        <v>580</v>
      </c>
      <c r="M4" s="63">
        <v>850</v>
      </c>
      <c r="N4" s="311">
        <v>388</v>
      </c>
      <c r="O4" s="311">
        <v>500</v>
      </c>
      <c r="P4" s="63">
        <v>330</v>
      </c>
      <c r="Q4" s="63">
        <v>896</v>
      </c>
      <c r="R4" s="311">
        <v>691</v>
      </c>
      <c r="S4" s="311">
        <v>521</v>
      </c>
      <c r="T4" s="63">
        <v>129</v>
      </c>
      <c r="U4" s="63">
        <v>458</v>
      </c>
      <c r="V4" s="311">
        <v>644</v>
      </c>
      <c r="W4" s="311">
        <v>602</v>
      </c>
      <c r="X4" s="63">
        <v>252</v>
      </c>
      <c r="Y4" s="63">
        <v>570</v>
      </c>
      <c r="Z4" s="118">
        <v>631</v>
      </c>
      <c r="AA4" s="118">
        <v>455</v>
      </c>
      <c r="AB4" s="63">
        <v>631</v>
      </c>
      <c r="AC4" s="63">
        <v>615</v>
      </c>
      <c r="AD4" s="118">
        <v>761.4</v>
      </c>
      <c r="AE4" s="118">
        <v>670.5</v>
      </c>
      <c r="AF4" s="63">
        <v>844</v>
      </c>
      <c r="AG4" s="63">
        <v>745</v>
      </c>
      <c r="AH4" s="118">
        <v>573.1</v>
      </c>
      <c r="AI4" s="118">
        <v>464.3</v>
      </c>
      <c r="AJ4" s="63">
        <v>259</v>
      </c>
      <c r="AK4" s="63">
        <v>459</v>
      </c>
      <c r="AL4" s="217">
        <v>586.45000000000005</v>
      </c>
      <c r="AM4" s="217">
        <v>467.06</v>
      </c>
      <c r="AN4" s="63">
        <v>203</v>
      </c>
      <c r="AO4" s="63">
        <v>465</v>
      </c>
      <c r="AQ4" s="217"/>
      <c r="AR4" s="217"/>
    </row>
    <row r="5" spans="1:44" x14ac:dyDescent="0.3">
      <c r="A5" s="118" t="s">
        <v>2</v>
      </c>
      <c r="B5" s="118">
        <v>711.29</v>
      </c>
      <c r="C5" s="118">
        <v>546</v>
      </c>
      <c r="D5" s="63">
        <v>805</v>
      </c>
      <c r="E5" s="63">
        <v>534</v>
      </c>
      <c r="F5" s="63">
        <v>873</v>
      </c>
      <c r="G5" s="63">
        <v>537</v>
      </c>
      <c r="H5" s="118">
        <v>409</v>
      </c>
      <c r="I5" s="118">
        <v>524</v>
      </c>
      <c r="J5" s="118">
        <v>583</v>
      </c>
      <c r="K5" s="118">
        <v>379</v>
      </c>
      <c r="L5" s="63">
        <v>551</v>
      </c>
      <c r="M5" s="63">
        <v>332</v>
      </c>
      <c r="N5" s="311">
        <v>390</v>
      </c>
      <c r="O5" s="311">
        <v>482</v>
      </c>
      <c r="P5" s="63">
        <v>348</v>
      </c>
      <c r="Q5" s="63">
        <v>429</v>
      </c>
      <c r="R5" s="311">
        <v>706</v>
      </c>
      <c r="S5" s="311">
        <v>523</v>
      </c>
      <c r="T5" s="63">
        <v>595</v>
      </c>
      <c r="U5" s="63">
        <v>471</v>
      </c>
      <c r="V5" s="311">
        <v>641</v>
      </c>
      <c r="W5" s="311">
        <v>618</v>
      </c>
      <c r="X5" s="63">
        <v>869</v>
      </c>
      <c r="Y5" s="63">
        <v>589</v>
      </c>
      <c r="Z5" s="118">
        <v>630</v>
      </c>
      <c r="AA5" s="118">
        <v>441</v>
      </c>
      <c r="AB5" s="63">
        <v>561</v>
      </c>
      <c r="AC5" s="63">
        <v>36</v>
      </c>
      <c r="AD5" s="118">
        <v>814.5</v>
      </c>
      <c r="AE5" s="118">
        <v>700.5</v>
      </c>
      <c r="AF5" s="63">
        <v>776</v>
      </c>
      <c r="AG5" s="63">
        <v>136</v>
      </c>
      <c r="AH5" s="118">
        <v>536</v>
      </c>
      <c r="AI5" s="118">
        <v>513</v>
      </c>
      <c r="AJ5" s="63">
        <v>855</v>
      </c>
      <c r="AK5" s="63">
        <v>486</v>
      </c>
      <c r="AL5" s="217">
        <v>553.62</v>
      </c>
      <c r="AM5" s="217">
        <v>442.07</v>
      </c>
      <c r="AN5" s="63">
        <v>763</v>
      </c>
      <c r="AO5" s="63">
        <v>507</v>
      </c>
      <c r="AQ5" s="217"/>
      <c r="AR5" s="217"/>
    </row>
    <row r="6" spans="1:44" x14ac:dyDescent="0.3">
      <c r="A6" s="118" t="s">
        <v>4</v>
      </c>
      <c r="B6" s="118">
        <f t="shared" ref="B6:AO6" si="0">B5-B4</f>
        <v>74.63</v>
      </c>
      <c r="C6" s="118">
        <f t="shared" si="0"/>
        <v>-84.57000000000005</v>
      </c>
      <c r="D6" s="63">
        <f t="shared" si="0"/>
        <v>573</v>
      </c>
      <c r="E6" s="63">
        <f t="shared" si="0"/>
        <v>49</v>
      </c>
      <c r="F6" s="63">
        <f t="shared" si="0"/>
        <v>556</v>
      </c>
      <c r="G6" s="63">
        <f t="shared" si="0"/>
        <v>55</v>
      </c>
      <c r="H6" s="118">
        <f t="shared" si="0"/>
        <v>4</v>
      </c>
      <c r="I6" s="118">
        <f t="shared" si="0"/>
        <v>-14</v>
      </c>
      <c r="J6" s="118">
        <f t="shared" si="0"/>
        <v>-11.899999999999977</v>
      </c>
      <c r="K6" s="118">
        <f t="shared" si="0"/>
        <v>-3.6999999999999886</v>
      </c>
      <c r="L6" s="63">
        <f t="shared" si="0"/>
        <v>-29</v>
      </c>
      <c r="M6" s="63">
        <f t="shared" si="0"/>
        <v>-518</v>
      </c>
      <c r="N6" s="311">
        <f t="shared" si="0"/>
        <v>2</v>
      </c>
      <c r="O6" s="311">
        <f t="shared" si="0"/>
        <v>-18</v>
      </c>
      <c r="P6" s="63">
        <f t="shared" si="0"/>
        <v>18</v>
      </c>
      <c r="Q6" s="63">
        <f t="shared" si="0"/>
        <v>-467</v>
      </c>
      <c r="R6" s="311">
        <f t="shared" si="0"/>
        <v>15</v>
      </c>
      <c r="S6" s="311">
        <f t="shared" si="0"/>
        <v>2</v>
      </c>
      <c r="T6" s="63">
        <f t="shared" si="0"/>
        <v>466</v>
      </c>
      <c r="U6" s="63">
        <f t="shared" si="0"/>
        <v>13</v>
      </c>
      <c r="V6" s="311">
        <f t="shared" si="0"/>
        <v>-3</v>
      </c>
      <c r="W6" s="311">
        <f t="shared" si="0"/>
        <v>16</v>
      </c>
      <c r="X6" s="63">
        <f t="shared" si="0"/>
        <v>617</v>
      </c>
      <c r="Y6" s="63">
        <f t="shared" si="0"/>
        <v>19</v>
      </c>
      <c r="Z6" s="118">
        <f t="shared" si="0"/>
        <v>-1</v>
      </c>
      <c r="AA6" s="118">
        <f t="shared" si="0"/>
        <v>-14</v>
      </c>
      <c r="AB6" s="63">
        <f t="shared" si="0"/>
        <v>-70</v>
      </c>
      <c r="AC6" s="63">
        <f t="shared" si="0"/>
        <v>-579</v>
      </c>
      <c r="AD6" s="118">
        <f t="shared" si="0"/>
        <v>53.100000000000023</v>
      </c>
      <c r="AE6" s="118">
        <f t="shared" si="0"/>
        <v>30</v>
      </c>
      <c r="AF6" s="63">
        <f t="shared" si="0"/>
        <v>-68</v>
      </c>
      <c r="AG6" s="63">
        <f t="shared" si="0"/>
        <v>-609</v>
      </c>
      <c r="AH6" s="118">
        <f t="shared" si="0"/>
        <v>-37.100000000000023</v>
      </c>
      <c r="AI6" s="118">
        <f t="shared" si="0"/>
        <v>48.699999999999989</v>
      </c>
      <c r="AJ6" s="63">
        <f t="shared" si="0"/>
        <v>596</v>
      </c>
      <c r="AK6" s="63">
        <f t="shared" si="0"/>
        <v>27</v>
      </c>
      <c r="AL6" s="118">
        <f t="shared" si="0"/>
        <v>-32.830000000000041</v>
      </c>
      <c r="AM6" s="118">
        <f t="shared" si="0"/>
        <v>-24.990000000000009</v>
      </c>
      <c r="AN6" s="63">
        <f t="shared" si="0"/>
        <v>560</v>
      </c>
      <c r="AO6" s="63">
        <f t="shared" si="0"/>
        <v>42</v>
      </c>
    </row>
    <row r="7" spans="1:44" x14ac:dyDescent="0.3">
      <c r="A7" s="118" t="s">
        <v>5</v>
      </c>
      <c r="B7" s="118">
        <f t="shared" ref="B7:AO7" si="1">B6^2</f>
        <v>5569.6368999999995</v>
      </c>
      <c r="C7" s="118">
        <f t="shared" si="1"/>
        <v>7152.084900000008</v>
      </c>
      <c r="D7" s="63">
        <f t="shared" si="1"/>
        <v>328329</v>
      </c>
      <c r="E7" s="63">
        <f t="shared" si="1"/>
        <v>2401</v>
      </c>
      <c r="F7" s="63">
        <f t="shared" si="1"/>
        <v>309136</v>
      </c>
      <c r="G7" s="63">
        <f t="shared" si="1"/>
        <v>3025</v>
      </c>
      <c r="H7" s="118">
        <f t="shared" si="1"/>
        <v>16</v>
      </c>
      <c r="I7" s="118">
        <f t="shared" si="1"/>
        <v>196</v>
      </c>
      <c r="J7" s="118">
        <f t="shared" si="1"/>
        <v>141.60999999999945</v>
      </c>
      <c r="K7" s="118">
        <f t="shared" si="1"/>
        <v>13.689999999999916</v>
      </c>
      <c r="L7" s="63">
        <f t="shared" si="1"/>
        <v>841</v>
      </c>
      <c r="M7" s="63">
        <f t="shared" si="1"/>
        <v>268324</v>
      </c>
      <c r="N7" s="311">
        <f t="shared" si="1"/>
        <v>4</v>
      </c>
      <c r="O7" s="311">
        <f t="shared" si="1"/>
        <v>324</v>
      </c>
      <c r="P7" s="63">
        <f t="shared" si="1"/>
        <v>324</v>
      </c>
      <c r="Q7" s="63">
        <f t="shared" si="1"/>
        <v>218089</v>
      </c>
      <c r="R7" s="311">
        <f t="shared" si="1"/>
        <v>225</v>
      </c>
      <c r="S7" s="311">
        <f t="shared" si="1"/>
        <v>4</v>
      </c>
      <c r="T7" s="63">
        <f t="shared" si="1"/>
        <v>217156</v>
      </c>
      <c r="U7" s="63">
        <f t="shared" si="1"/>
        <v>169</v>
      </c>
      <c r="V7" s="311">
        <f t="shared" si="1"/>
        <v>9</v>
      </c>
      <c r="W7" s="311">
        <f t="shared" si="1"/>
        <v>256</v>
      </c>
      <c r="X7" s="63">
        <f t="shared" si="1"/>
        <v>380689</v>
      </c>
      <c r="Y7" s="63">
        <f t="shared" si="1"/>
        <v>361</v>
      </c>
      <c r="Z7" s="118">
        <f t="shared" si="1"/>
        <v>1</v>
      </c>
      <c r="AA7" s="118">
        <f t="shared" si="1"/>
        <v>196</v>
      </c>
      <c r="AB7" s="63">
        <f t="shared" si="1"/>
        <v>4900</v>
      </c>
      <c r="AC7" s="63">
        <f t="shared" si="1"/>
        <v>335241</v>
      </c>
      <c r="AD7" s="118">
        <f t="shared" si="1"/>
        <v>2819.6100000000024</v>
      </c>
      <c r="AE7" s="118">
        <f t="shared" si="1"/>
        <v>900</v>
      </c>
      <c r="AF7" s="63">
        <f t="shared" si="1"/>
        <v>4624</v>
      </c>
      <c r="AG7" s="63">
        <f t="shared" si="1"/>
        <v>370881</v>
      </c>
      <c r="AH7" s="118">
        <f t="shared" si="1"/>
        <v>1376.4100000000017</v>
      </c>
      <c r="AI7" s="118">
        <f t="shared" si="1"/>
        <v>2371.6899999999987</v>
      </c>
      <c r="AJ7" s="63">
        <f t="shared" si="1"/>
        <v>355216</v>
      </c>
      <c r="AK7" s="63">
        <f t="shared" si="1"/>
        <v>729</v>
      </c>
      <c r="AL7" s="118">
        <f t="shared" si="1"/>
        <v>1077.8089000000027</v>
      </c>
      <c r="AM7" s="118">
        <f t="shared" si="1"/>
        <v>624.50010000000043</v>
      </c>
      <c r="AN7" s="63">
        <f t="shared" si="1"/>
        <v>313600</v>
      </c>
      <c r="AO7" s="63">
        <f t="shared" si="1"/>
        <v>1764</v>
      </c>
    </row>
    <row r="8" spans="1:44" x14ac:dyDescent="0.3">
      <c r="A8" s="118" t="s">
        <v>6</v>
      </c>
      <c r="C8" s="118">
        <f>SQRT(SUM(B7:C7))</f>
        <v>112.79061042480446</v>
      </c>
      <c r="D8" s="63"/>
      <c r="E8" s="63">
        <f>SQRT(SUM(D7:E7))</f>
        <v>575.09129709986053</v>
      </c>
      <c r="F8" s="63"/>
      <c r="G8" s="63">
        <f>SQRT(SUM(F7:G7))</f>
        <v>558.7137012817924</v>
      </c>
      <c r="I8" s="118">
        <f>SQRT(SUM(H7:I7))</f>
        <v>14.560219778561036</v>
      </c>
      <c r="K8" s="118">
        <f>SQRT(SUM(J7:K7))</f>
        <v>12.461942063739478</v>
      </c>
      <c r="L8" s="63"/>
      <c r="M8" s="63">
        <f>SQRT(SUM(L7:M7))</f>
        <v>518.81114097521072</v>
      </c>
      <c r="O8" s="311">
        <f>SQRT(SUM(N7:O7))</f>
        <v>18.110770276274835</v>
      </c>
      <c r="P8" s="63"/>
      <c r="Q8" s="63">
        <f>SQRT(SUM(P7:Q7))</f>
        <v>467.34676633095472</v>
      </c>
      <c r="S8" s="311">
        <f>SQRT(SUM(R7:S7))</f>
        <v>15.132745950421556</v>
      </c>
      <c r="T8" s="63"/>
      <c r="U8" s="63">
        <f>SQRT(SUM(T7:U7))</f>
        <v>466.18129520606038</v>
      </c>
      <c r="W8" s="311">
        <f>SQRT(SUM(V7:W7))</f>
        <v>16.278820596099706</v>
      </c>
      <c r="X8" s="63"/>
      <c r="Y8" s="63">
        <f>SQRT(SUM(X7:Y7))</f>
        <v>617.29247524977984</v>
      </c>
      <c r="AA8" s="118">
        <f>SQRT(SUM(Z7:AA7))</f>
        <v>14.035668847618199</v>
      </c>
      <c r="AB8" s="63"/>
      <c r="AC8" s="63">
        <f>SQRT(SUM(AB7:AC7))</f>
        <v>583.21608345449454</v>
      </c>
      <c r="AE8" s="118">
        <f>SQRT(SUM(AD7:AE7))</f>
        <v>60.988605493157507</v>
      </c>
      <c r="AF8" s="63"/>
      <c r="AG8" s="63">
        <f>SQRT(SUM(AF7:AG7))</f>
        <v>612.78462774452817</v>
      </c>
      <c r="AI8" s="118">
        <f>SQRT(SUM(AH7:AI7))</f>
        <v>61.221728169008756</v>
      </c>
      <c r="AJ8" s="63"/>
      <c r="AK8" s="63">
        <f>SQRT(SUM(AJ7:AK7))</f>
        <v>596.61126372203194</v>
      </c>
      <c r="AM8" s="118">
        <f>SQRT(SUM(AL7:AM7))</f>
        <v>41.259047492640967</v>
      </c>
      <c r="AN8" s="63"/>
      <c r="AO8" s="63">
        <f>SQRT(SUM(AN7:AO7))</f>
        <v>561.57279136368425</v>
      </c>
    </row>
    <row r="9" spans="1:44" x14ac:dyDescent="0.3">
      <c r="A9" s="118" t="s">
        <v>7</v>
      </c>
      <c r="C9" s="118">
        <f>MOD(ATAN2(C6,B6)*180/PI()+270,360)</f>
        <v>48.572749383674989</v>
      </c>
      <c r="D9" s="63"/>
      <c r="E9" s="63">
        <f>MOD(ATAN2(E6,D6)*180/PI()+270,360)</f>
        <v>355.11225212175214</v>
      </c>
      <c r="F9" s="63"/>
      <c r="G9" s="63">
        <f>MOD(ATAN2(G6,F6)*180/PI()+270,360)</f>
        <v>354.35063118061862</v>
      </c>
      <c r="I9" s="118">
        <f>MOD(ATAN2(I6,H6)*180/PI()+270,360)</f>
        <v>74.054604099077096</v>
      </c>
      <c r="K9" s="118">
        <f>MOD(ATAN2(K6,J6)*180/PI()+270,360)</f>
        <v>162.72825742231913</v>
      </c>
      <c r="L9" s="63"/>
      <c r="M9" s="63">
        <f>MOD(ATAN2(M6,L6)*180/PI()+270,360)</f>
        <v>93.204333819648241</v>
      </c>
      <c r="O9" s="311">
        <f>MOD(ATAN2(O6,N6)*180/PI()+270,360)</f>
        <v>83.65980825409008</v>
      </c>
      <c r="P9" s="63"/>
      <c r="Q9" s="63">
        <f>MOD(ATAN2(Q6,P6)*180/PI()+270,360)</f>
        <v>87.79269001427167</v>
      </c>
      <c r="S9" s="311">
        <f>MOD(ATAN2(S6,R6)*180/PI()+270,360)</f>
        <v>352.40535663140855</v>
      </c>
      <c r="T9" s="63"/>
      <c r="U9" s="63">
        <f>MOD(ATAN2(U6,T6)*180/PI()+270,360)</f>
        <v>358.40203433369646</v>
      </c>
      <c r="W9" s="311">
        <f>MOD(ATAN2(W6,V6)*180/PI()+270,360)</f>
        <v>259.38034472384487</v>
      </c>
      <c r="X9" s="63"/>
      <c r="Y9" s="63">
        <f>MOD(ATAN2(Y6,X6)*180/PI()+270,360)</f>
        <v>358.23618168442056</v>
      </c>
      <c r="AA9" s="118">
        <f>MOD(ATAN2(AA6,Z6)*180/PI()+270,360)</f>
        <v>94.085616779974856</v>
      </c>
      <c r="AB9" s="63"/>
      <c r="AC9" s="63">
        <f>MOD(ATAN2(AC6,AB6)*180/PI()+270,360)</f>
        <v>96.893494892991612</v>
      </c>
      <c r="AE9" s="118">
        <f>MOD(ATAN2(AE6,AD6)*180/PI()+270,360)</f>
        <v>330.53477861523334</v>
      </c>
      <c r="AF9" s="63"/>
      <c r="AG9" s="63">
        <f>MOD(ATAN2(AG6,AF6)*180/PI()+270,360)</f>
        <v>96.371168015831017</v>
      </c>
      <c r="AI9" s="118">
        <f>MOD(ATAN2(AI6,AH6)*180/PI()+270,360)</f>
        <v>232.69959659483965</v>
      </c>
      <c r="AJ9" s="63"/>
      <c r="AK9" s="63">
        <f>MOD(ATAN2(AK6,AJ6)*180/PI()+270,360)</f>
        <v>357.40615927996771</v>
      </c>
      <c r="AM9" s="118">
        <f>MOD(ATAN2(AM6,AL6)*180/PI()+270,360)</f>
        <v>142.721825800131</v>
      </c>
      <c r="AN9" s="63"/>
      <c r="AO9" s="63">
        <f>MOD(ATAN2(AO6,AN6)*180/PI()+270,360)</f>
        <v>355.710846671181</v>
      </c>
    </row>
    <row r="10" spans="1:44" s="307" customFormat="1" ht="117" customHeight="1" x14ac:dyDescent="0.3">
      <c r="A10" s="250" t="s">
        <v>40</v>
      </c>
      <c r="B10" s="430" t="s">
        <v>421</v>
      </c>
      <c r="C10" s="430"/>
      <c r="D10" s="430"/>
      <c r="E10" s="430"/>
      <c r="F10" s="430"/>
      <c r="G10" s="430"/>
      <c r="H10" s="430" t="s">
        <v>382</v>
      </c>
      <c r="I10" s="430"/>
      <c r="J10" s="430" t="s">
        <v>421</v>
      </c>
      <c r="K10" s="430"/>
      <c r="L10" s="430"/>
      <c r="M10" s="430"/>
      <c r="N10" s="434" t="s">
        <v>414</v>
      </c>
      <c r="O10" s="434"/>
      <c r="P10" s="430"/>
      <c r="Q10" s="430"/>
      <c r="R10" s="434" t="s">
        <v>414</v>
      </c>
      <c r="S10" s="434"/>
      <c r="T10" s="430"/>
      <c r="U10" s="430"/>
      <c r="V10" s="434" t="s">
        <v>414</v>
      </c>
      <c r="W10" s="434"/>
      <c r="X10" s="430"/>
      <c r="Y10" s="430"/>
      <c r="Z10" s="430" t="s">
        <v>382</v>
      </c>
      <c r="AA10" s="430"/>
      <c r="AB10" s="430"/>
      <c r="AC10" s="430"/>
      <c r="AD10" s="430" t="s">
        <v>421</v>
      </c>
      <c r="AE10" s="430"/>
      <c r="AH10" s="430" t="s">
        <v>421</v>
      </c>
      <c r="AI10" s="430"/>
      <c r="AL10" s="430" t="s">
        <v>421</v>
      </c>
      <c r="AM10" s="430"/>
    </row>
    <row r="11" spans="1:44" s="127" customFormat="1" x14ac:dyDescent="0.3">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06" customFormat="1" x14ac:dyDescent="0.3">
      <c r="B12" s="306" t="s">
        <v>62</v>
      </c>
      <c r="C12" s="306" t="s">
        <v>63</v>
      </c>
      <c r="D12" s="69"/>
      <c r="E12" s="69"/>
      <c r="F12" s="69"/>
      <c r="G12" s="69"/>
      <c r="H12" s="306" t="s">
        <v>62</v>
      </c>
      <c r="I12" s="306" t="s">
        <v>63</v>
      </c>
      <c r="J12" s="306" t="s">
        <v>62</v>
      </c>
      <c r="K12" s="306" t="s">
        <v>63</v>
      </c>
      <c r="L12" s="69"/>
      <c r="M12" s="69"/>
      <c r="N12" s="312" t="s">
        <v>62</v>
      </c>
      <c r="O12" s="312" t="s">
        <v>63</v>
      </c>
      <c r="P12" s="69"/>
      <c r="Q12" s="69"/>
      <c r="R12" s="312" t="s">
        <v>62</v>
      </c>
      <c r="S12" s="312" t="s">
        <v>63</v>
      </c>
      <c r="T12" s="69"/>
      <c r="U12" s="69"/>
      <c r="V12" s="312" t="s">
        <v>62</v>
      </c>
      <c r="W12" s="312" t="s">
        <v>63</v>
      </c>
      <c r="X12" s="69"/>
      <c r="Y12" s="69"/>
      <c r="Z12" s="306" t="s">
        <v>62</v>
      </c>
      <c r="AA12" s="306" t="s">
        <v>63</v>
      </c>
      <c r="AB12" s="69"/>
      <c r="AC12" s="69"/>
      <c r="AD12" s="306" t="s">
        <v>62</v>
      </c>
      <c r="AE12" s="306" t="s">
        <v>63</v>
      </c>
      <c r="AF12" s="69"/>
      <c r="AG12" s="69"/>
      <c r="AH12" s="306" t="s">
        <v>62</v>
      </c>
      <c r="AI12" s="306" t="s">
        <v>63</v>
      </c>
      <c r="AJ12" s="69"/>
      <c r="AK12" s="69"/>
      <c r="AL12" s="306" t="s">
        <v>62</v>
      </c>
      <c r="AM12" s="306" t="s">
        <v>63</v>
      </c>
      <c r="AN12" s="69"/>
      <c r="AO12" s="69"/>
    </row>
    <row r="13" spans="1:44" x14ac:dyDescent="0.3">
      <c r="A13" s="118" t="s">
        <v>18</v>
      </c>
      <c r="D13" s="63"/>
      <c r="E13" s="63"/>
      <c r="F13" s="63"/>
      <c r="G13" s="63"/>
      <c r="L13" s="63"/>
      <c r="M13" s="63"/>
      <c r="P13" s="63"/>
      <c r="Q13" s="63"/>
      <c r="T13" s="63"/>
      <c r="U13" s="63"/>
      <c r="X13" s="63"/>
      <c r="Y13" s="63"/>
      <c r="AB13" s="63"/>
      <c r="AC13" s="63"/>
      <c r="AF13" s="63"/>
      <c r="AG13" s="63"/>
      <c r="AJ13" s="63"/>
      <c r="AK13" s="63"/>
      <c r="AN13" s="63"/>
      <c r="AO13" s="63"/>
    </row>
    <row r="14" spans="1:44" x14ac:dyDescent="0.3">
      <c r="A14" s="118" t="s">
        <v>17</v>
      </c>
      <c r="D14" s="63"/>
      <c r="E14" s="63"/>
      <c r="F14" s="63"/>
      <c r="G14" s="63"/>
      <c r="L14" s="63"/>
      <c r="M14" s="63"/>
      <c r="P14" s="63"/>
      <c r="Q14" s="63"/>
      <c r="T14" s="63"/>
      <c r="U14" s="63"/>
      <c r="X14" s="63"/>
      <c r="Y14" s="63"/>
      <c r="AB14" s="63"/>
      <c r="AC14" s="63"/>
      <c r="AF14" s="63"/>
      <c r="AG14" s="63"/>
      <c r="AJ14" s="63"/>
      <c r="AK14" s="63"/>
      <c r="AN14" s="63"/>
      <c r="AO14" s="63"/>
    </row>
    <row r="15" spans="1:44" x14ac:dyDescent="0.3">
      <c r="A15" s="118" t="s">
        <v>14</v>
      </c>
      <c r="D15" s="63"/>
      <c r="E15" s="63"/>
      <c r="F15" s="63"/>
      <c r="G15" s="63"/>
      <c r="L15" s="63"/>
      <c r="M15" s="63"/>
      <c r="P15" s="63"/>
      <c r="Q15" s="63"/>
      <c r="T15" s="63"/>
      <c r="U15" s="63"/>
      <c r="X15" s="63"/>
      <c r="Y15" s="63"/>
      <c r="AB15" s="63"/>
      <c r="AC15" s="63"/>
      <c r="AF15" s="63"/>
      <c r="AG15" s="63"/>
      <c r="AJ15" s="63"/>
      <c r="AK15" s="63"/>
      <c r="AN15" s="63"/>
      <c r="AO15" s="63"/>
    </row>
    <row r="16" spans="1:44" x14ac:dyDescent="0.3">
      <c r="A16" s="118" t="s">
        <v>13</v>
      </c>
      <c r="C16" s="147">
        <v>13.226000000000001</v>
      </c>
      <c r="D16" s="63"/>
      <c r="E16" s="111">
        <f>8*15.0412*COS((57+48/60+51/3600)*PI()/180)</f>
        <v>64.095611171951887</v>
      </c>
      <c r="F16" s="63"/>
      <c r="G16" s="111">
        <f>8*15.0412*COS((57+48/60+51/3600)*PI()/180)</f>
        <v>64.095611171951887</v>
      </c>
      <c r="I16" s="147">
        <v>1.548</v>
      </c>
      <c r="K16" s="147">
        <v>1.548</v>
      </c>
      <c r="L16" s="63"/>
      <c r="M16" s="111">
        <f>8*15.0412*COS((58+26/60+12/3600)*PI()/180)</f>
        <v>62.985413977664749</v>
      </c>
      <c r="O16" s="313">
        <v>2.605</v>
      </c>
      <c r="P16" s="63"/>
      <c r="Q16" s="111">
        <f>8*15.0412*COS((67+24/60+9/3600)*PI()/180)</f>
        <v>46.237255218954658</v>
      </c>
      <c r="S16" s="313">
        <v>2.605</v>
      </c>
      <c r="T16" s="63"/>
      <c r="U16" s="111">
        <f>8*15.0412*COS((67+24/60+9/3600)*PI()/180)</f>
        <v>46.237255218954658</v>
      </c>
      <c r="W16" s="313">
        <v>1.601</v>
      </c>
      <c r="X16" s="63"/>
      <c r="Y16" s="111">
        <f>5*15.0412*COS((22+30/60+24/3600)*PI()/180)</f>
        <v>69.47793493615832</v>
      </c>
      <c r="AA16" s="147">
        <v>1.601</v>
      </c>
      <c r="AB16" s="63"/>
      <c r="AC16" s="111">
        <f>5*15.0412*COS((22+30/60+24/3600)*PI()/180)</f>
        <v>69.47793493615832</v>
      </c>
      <c r="AE16" s="147">
        <v>7.1970000000000001</v>
      </c>
      <c r="AF16" s="63"/>
      <c r="AG16" s="111">
        <f>5*15.0412*COS((13+10/60+39/3600)*PI()/180)</f>
        <v>73.2257132846118</v>
      </c>
      <c r="AI16" s="147">
        <v>7.1970000000000001</v>
      </c>
      <c r="AJ16" s="63"/>
      <c r="AK16" s="111">
        <f>5*15.0412*COS((13+10/60+39/3600)*PI()/180)</f>
        <v>73.2257132846118</v>
      </c>
      <c r="AM16" s="147">
        <v>4.7279999999999998</v>
      </c>
      <c r="AN16" s="63"/>
      <c r="AO16" s="111">
        <f>5*15.0412*COS((31+53/60+17/3600)*PI()/180)</f>
        <v>63.856048306882585</v>
      </c>
    </row>
    <row r="17" spans="1:41" x14ac:dyDescent="0.3">
      <c r="A17" s="118" t="s">
        <v>7</v>
      </c>
      <c r="C17" s="118">
        <v>321.98</v>
      </c>
      <c r="D17" s="63"/>
      <c r="E17" s="63">
        <v>-90</v>
      </c>
      <c r="F17" s="63"/>
      <c r="G17" s="63">
        <v>-90</v>
      </c>
      <c r="I17" s="118">
        <v>348.83</v>
      </c>
      <c r="K17" s="118">
        <v>348.83</v>
      </c>
      <c r="L17" s="63"/>
      <c r="M17" s="63">
        <v>-90</v>
      </c>
      <c r="O17" s="311">
        <v>228.85</v>
      </c>
      <c r="P17" s="63"/>
      <c r="Q17" s="63">
        <v>-90</v>
      </c>
      <c r="S17" s="311">
        <v>228.85</v>
      </c>
      <c r="T17" s="63"/>
      <c r="U17" s="63">
        <v>-90</v>
      </c>
      <c r="W17" s="311">
        <v>253.52</v>
      </c>
      <c r="X17" s="63"/>
      <c r="Y17" s="63">
        <v>-90</v>
      </c>
      <c r="AA17" s="118">
        <v>253.52</v>
      </c>
      <c r="AB17" s="63"/>
      <c r="AC17" s="63">
        <v>-90</v>
      </c>
      <c r="AE17" s="118">
        <v>141.74</v>
      </c>
      <c r="AF17" s="63"/>
      <c r="AG17" s="63">
        <v>-90</v>
      </c>
      <c r="AI17" s="118">
        <v>141.74</v>
      </c>
      <c r="AJ17" s="63"/>
      <c r="AK17" s="63">
        <v>-90</v>
      </c>
      <c r="AM17" s="118">
        <v>56.38</v>
      </c>
      <c r="AN17" s="63"/>
      <c r="AO17" s="63">
        <v>-90</v>
      </c>
    </row>
    <row r="18" spans="1:41" x14ac:dyDescent="0.3">
      <c r="A18" s="118" t="s">
        <v>32</v>
      </c>
      <c r="B18" s="72">
        <f>-C16*SIN((C17)/180*PI())</f>
        <v>8.1463762211565829</v>
      </c>
      <c r="C18" s="72">
        <f>C16*COS((C17)/180*PI())</f>
        <v>10.419387240302312</v>
      </c>
      <c r="D18" s="72">
        <f>-E16*SIN((E17)/180*PI())</f>
        <v>64.095611171951887</v>
      </c>
      <c r="E18" s="72">
        <f>E16*COS((E17)/180*PI())</f>
        <v>3.926331949687027E-15</v>
      </c>
      <c r="F18" s="72">
        <f>-G16*SIN((G17)/180*PI())</f>
        <v>64.095611171951887</v>
      </c>
      <c r="G18" s="72">
        <f>G16*COS((G17)/180*PI())</f>
        <v>3.926331949687027E-15</v>
      </c>
      <c r="H18" s="72">
        <f>-I16*SIN((I17)/180*PI())</f>
        <v>0.29987964003953704</v>
      </c>
      <c r="I18" s="72">
        <f>I16*COS((I17)/180*PI())</f>
        <v>1.5186758052625182</v>
      </c>
      <c r="J18" s="72">
        <f>-K16*SIN((K17)/180*PI())</f>
        <v>0.29987964003953704</v>
      </c>
      <c r="K18" s="72">
        <f>K16*COS((K17)/180*PI())</f>
        <v>1.5186758052625182</v>
      </c>
      <c r="L18" s="72">
        <f>-M16*SIN((M17)/180*PI())</f>
        <v>62.985413977664749</v>
      </c>
      <c r="M18" s="72">
        <f>M16*COS((M17)/180*PI())</f>
        <v>3.8583241308257883E-15</v>
      </c>
      <c r="N18" s="314">
        <f>-O16*SIN((O17)/180*PI())</f>
        <v>1.9615374842076261</v>
      </c>
      <c r="O18" s="314">
        <f>O16*COS((O17)/180*PI())</f>
        <v>-1.7141749321607804</v>
      </c>
      <c r="P18" s="72">
        <f>-Q16*SIN((Q17)/180*PI())</f>
        <v>46.237255218954658</v>
      </c>
      <c r="Q18" s="72">
        <f>Q16*COS((Q17)/180*PI())</f>
        <v>2.8323750895358912E-15</v>
      </c>
      <c r="R18" s="314">
        <f>-S16*SIN((S17)/180*PI())</f>
        <v>1.9615374842076261</v>
      </c>
      <c r="S18" s="314">
        <f>S16*COS((S17)/180*PI())</f>
        <v>-1.7141749321607804</v>
      </c>
      <c r="T18" s="72">
        <f>-U16*SIN((U17)/180*PI())</f>
        <v>46.237255218954658</v>
      </c>
      <c r="U18" s="72">
        <f>U16*COS((U17)/180*PI())</f>
        <v>2.8323750895358912E-15</v>
      </c>
      <c r="V18" s="314">
        <f>-W16*SIN((W17)/180*PI())</f>
        <v>1.5352290252314964</v>
      </c>
      <c r="W18" s="314">
        <f>W16*COS((W17)/180*PI())</f>
        <v>-0.45417269852639641</v>
      </c>
      <c r="X18" s="72">
        <f>-Y16*SIN((Y17)/180*PI())</f>
        <v>69.47793493615832</v>
      </c>
      <c r="Y18" s="72">
        <f>Y16*COS((Y17)/180*PI())</f>
        <v>4.2560392318637996E-15</v>
      </c>
      <c r="Z18" s="72">
        <f>-AA16*SIN((AA17)/180*PI())</f>
        <v>1.5352290252314964</v>
      </c>
      <c r="AA18" s="72">
        <f>AA16*COS((AA17)/180*PI())</f>
        <v>-0.45417269852639641</v>
      </c>
      <c r="AB18" s="72">
        <f>-AC16*SIN((AC17)/180*PI())</f>
        <v>69.47793493615832</v>
      </c>
      <c r="AC18" s="72">
        <f>AC16*COS((AC17)/180*PI())</f>
        <v>4.2560392318637996E-15</v>
      </c>
      <c r="AD18" s="72">
        <f>-AE16*SIN((AE17)/180*PI())</f>
        <v>-4.4566055324842404</v>
      </c>
      <c r="AE18" s="72">
        <f>AE16*COS((AE17)/180*PI())</f>
        <v>-5.651148213224535</v>
      </c>
      <c r="AF18" s="72">
        <f>-AG16*SIN((AG17)/180*PI())</f>
        <v>73.2257132846118</v>
      </c>
      <c r="AG18" s="72">
        <f>AG16*COS((AG17)/180*PI())</f>
        <v>4.4856184745111878E-15</v>
      </c>
      <c r="AH18" s="72">
        <f>-AI16*SIN((AI17)/180*PI())</f>
        <v>-4.4566055324842404</v>
      </c>
      <c r="AI18" s="72">
        <f>AI16*COS((AI17)/180*PI())</f>
        <v>-5.651148213224535</v>
      </c>
      <c r="AJ18" s="72">
        <f>-AK16*SIN((AK17)/180*PI())</f>
        <v>73.2257132846118</v>
      </c>
      <c r="AK18" s="72">
        <f>AK16*COS((AK17)/180*PI())</f>
        <v>4.4856184745111878E-15</v>
      </c>
      <c r="AL18" s="72">
        <f>-AM16*SIN((AM17)/180*PI())</f>
        <v>-3.9371380779823273</v>
      </c>
      <c r="AM18" s="72">
        <f>AM16*COS((AM17)/180*PI())</f>
        <v>2.6178097247320369</v>
      </c>
      <c r="AN18" s="72">
        <f>-AO16*SIN((AO17)/180*PI())</f>
        <v>63.856048306882585</v>
      </c>
      <c r="AO18" s="72">
        <f>AO16*COS((AO17)/180*PI())</f>
        <v>3.9116569459873698E-15</v>
      </c>
    </row>
    <row r="19" spans="1:41" s="305" customFormat="1" ht="69" customHeight="1" x14ac:dyDescent="0.3">
      <c r="A19" s="251" t="s">
        <v>40</v>
      </c>
      <c r="B19" s="388"/>
      <c r="C19" s="388"/>
      <c r="D19" s="304"/>
      <c r="E19" s="304"/>
      <c r="F19" s="304"/>
      <c r="G19" s="304"/>
      <c r="H19" s="388"/>
      <c r="I19" s="388"/>
      <c r="J19" s="388"/>
      <c r="K19" s="388"/>
      <c r="L19" s="304"/>
      <c r="M19" s="304"/>
      <c r="N19" s="432"/>
      <c r="O19" s="432"/>
      <c r="P19" s="304"/>
      <c r="Q19" s="304"/>
      <c r="R19" s="432"/>
      <c r="S19" s="432"/>
      <c r="T19" s="304"/>
      <c r="U19" s="304"/>
      <c r="V19" s="432"/>
      <c r="W19" s="432"/>
      <c r="X19" s="304"/>
      <c r="Y19" s="304"/>
      <c r="Z19" s="388"/>
      <c r="AA19" s="388"/>
      <c r="AB19" s="304"/>
      <c r="AC19" s="304"/>
      <c r="AD19" s="388"/>
      <c r="AE19" s="388"/>
      <c r="AF19" s="304"/>
      <c r="AG19" s="304"/>
      <c r="AH19" s="388"/>
      <c r="AI19" s="388"/>
      <c r="AJ19" s="304"/>
      <c r="AK19" s="304"/>
      <c r="AL19" s="388"/>
      <c r="AM19" s="388"/>
      <c r="AN19" s="304"/>
      <c r="AO19" s="304"/>
    </row>
    <row r="20" spans="1:41" s="127" customFormat="1" x14ac:dyDescent="0.3">
      <c r="A20" s="252" t="s">
        <v>38</v>
      </c>
      <c r="D20" s="67"/>
      <c r="E20" s="67"/>
      <c r="F20" s="67"/>
      <c r="G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0.11726153400701333</v>
      </c>
      <c r="D21" s="63"/>
      <c r="E21" s="118">
        <f>E16/E8</f>
        <v>0.11145293189999733</v>
      </c>
      <c r="F21" s="63"/>
      <c r="G21" s="118">
        <f>G16/G8</f>
        <v>0.11471995590032018</v>
      </c>
      <c r="I21" s="118">
        <f>I16/I8</f>
        <v>0.10631707649628531</v>
      </c>
      <c r="K21" s="118">
        <f>K16/K8</f>
        <v>0.12421819906419054</v>
      </c>
      <c r="L21" s="63"/>
      <c r="M21" s="118">
        <f>M16/M8</f>
        <v>0.121403356642016</v>
      </c>
      <c r="O21" s="311">
        <f>O16/O8</f>
        <v>0.14383706271248761</v>
      </c>
      <c r="P21" s="63"/>
      <c r="Q21" s="118">
        <f>Q16/Q8</f>
        <v>9.8935648109762325E-2</v>
      </c>
      <c r="S21" s="311">
        <f>S16/S8</f>
        <v>0.17214324541855089</v>
      </c>
      <c r="T21" s="63"/>
      <c r="U21" s="118">
        <f>U16/U8</f>
        <v>9.9182991026092057E-2</v>
      </c>
      <c r="W21" s="311">
        <f>W16/W8</f>
        <v>9.8348648205115588E-2</v>
      </c>
      <c r="X21" s="63"/>
      <c r="Y21" s="118">
        <f>Y16/Y8</f>
        <v>0.11255270025451861</v>
      </c>
      <c r="AA21" s="118">
        <f>AA16/AA8</f>
        <v>0.11406652703064334</v>
      </c>
      <c r="AB21" s="63"/>
      <c r="AC21" s="118">
        <f>AC16/AC8</f>
        <v>0.11912897621860481</v>
      </c>
      <c r="AE21" s="118">
        <f>AE16/AE8</f>
        <v>0.11800564944557476</v>
      </c>
      <c r="AF21" s="63"/>
      <c r="AG21" s="118">
        <f>AG16/AG8</f>
        <v>0.11949665505502829</v>
      </c>
      <c r="AI21" s="118">
        <f>AI16/AI8</f>
        <v>0.11755630256192631</v>
      </c>
      <c r="AJ21" s="63"/>
      <c r="AK21" s="118">
        <f>AK16/AK8</f>
        <v>0.12273605568185937</v>
      </c>
      <c r="AM21" s="118">
        <f>AM16/AM8</f>
        <v>0.11459304776348252</v>
      </c>
      <c r="AN21" s="63"/>
      <c r="AO21" s="118">
        <f>AO16/AO8</f>
        <v>0.11370929875683436</v>
      </c>
    </row>
    <row r="22" spans="1:41" x14ac:dyDescent="0.3">
      <c r="A22" s="118" t="s">
        <v>34</v>
      </c>
      <c r="C22" s="129"/>
      <c r="D22" s="63"/>
      <c r="E22" s="63"/>
      <c r="F22" s="63"/>
      <c r="G22" s="63"/>
      <c r="I22" s="129"/>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0.11726153400701333</v>
      </c>
      <c r="D23" s="63"/>
      <c r="E23" s="118">
        <f>E21-$C22</f>
        <v>0.11145293189999733</v>
      </c>
      <c r="F23" s="63"/>
      <c r="G23" s="118">
        <f>G21-$C22</f>
        <v>0.11471995590032018</v>
      </c>
      <c r="I23" s="118">
        <f>I21-$C22</f>
        <v>0.10631707649628531</v>
      </c>
      <c r="K23" s="118">
        <f>K21-$C22</f>
        <v>0.12421819906419054</v>
      </c>
      <c r="L23" s="63"/>
      <c r="M23" s="118">
        <f>M21-$C22</f>
        <v>0.121403356642016</v>
      </c>
      <c r="O23" s="311">
        <f>O21-$C22</f>
        <v>0.14383706271248761</v>
      </c>
      <c r="P23" s="63"/>
      <c r="Q23" s="118">
        <f>Q21-$C22</f>
        <v>9.8935648109762325E-2</v>
      </c>
      <c r="S23" s="311">
        <f>S21-$C22</f>
        <v>0.17214324541855089</v>
      </c>
      <c r="T23" s="63"/>
      <c r="U23" s="118">
        <f>U21-$C22</f>
        <v>9.9182991026092057E-2</v>
      </c>
      <c r="W23" s="311">
        <f>W21-$C22</f>
        <v>9.8348648205115588E-2</v>
      </c>
      <c r="X23" s="63"/>
      <c r="Y23" s="118">
        <f>Y21-$C22</f>
        <v>0.11255270025451861</v>
      </c>
      <c r="AA23" s="118">
        <f>AA21-$C22</f>
        <v>0.11406652703064334</v>
      </c>
      <c r="AB23" s="63"/>
      <c r="AC23" s="118">
        <f>AC21-$C22</f>
        <v>0.11912897621860481</v>
      </c>
      <c r="AE23" s="118">
        <f>AE21-$C22</f>
        <v>0.11800564944557476</v>
      </c>
      <c r="AF23" s="63"/>
      <c r="AG23" s="118">
        <f>AG21-$C22</f>
        <v>0.11949665505502829</v>
      </c>
      <c r="AI23" s="118">
        <f>AI21-$C22</f>
        <v>0.11755630256192631</v>
      </c>
      <c r="AJ23" s="63"/>
      <c r="AK23" s="118">
        <f>AK21-$C22</f>
        <v>0.12273605568185937</v>
      </c>
      <c r="AM23" s="118">
        <f>AM21-$C22</f>
        <v>0.11459304776348252</v>
      </c>
      <c r="AN23" s="63"/>
      <c r="AO23" s="118">
        <f>AO21-$C22</f>
        <v>0.11370929875683436</v>
      </c>
    </row>
    <row r="24" spans="1:41" x14ac:dyDescent="0.3">
      <c r="A24" s="139" t="s">
        <v>64</v>
      </c>
      <c r="C24" s="74">
        <f>MOD(C9-C17,360)</f>
        <v>86.59274938367497</v>
      </c>
      <c r="D24" s="63"/>
      <c r="E24" s="74">
        <f>MOD(E9-E17,360)</f>
        <v>85.112252121752135</v>
      </c>
      <c r="F24" s="63"/>
      <c r="G24" s="74">
        <f>MOD(G9-G17,360)</f>
        <v>84.35063118061862</v>
      </c>
      <c r="I24" s="74">
        <f>MOD(I9-I17,360)</f>
        <v>85.224604099077112</v>
      </c>
      <c r="K24" s="74">
        <f>MOD(K9-K17,360)</f>
        <v>173.89825742231915</v>
      </c>
      <c r="L24" s="63"/>
      <c r="M24" s="74">
        <f>MOD(M9-M17,360)</f>
        <v>183.20433381964824</v>
      </c>
      <c r="O24" s="316">
        <f>MOD(O9-O17,360)</f>
        <v>214.80980825409009</v>
      </c>
      <c r="P24" s="63"/>
      <c r="Q24" s="74">
        <f>MOD(Q9-Q17,360)</f>
        <v>177.79269001427167</v>
      </c>
      <c r="S24" s="316">
        <f>MOD(S9-S17,360)</f>
        <v>123.55535663140856</v>
      </c>
      <c r="T24" s="63"/>
      <c r="U24" s="74">
        <f>MOD(U9-U17,360)</f>
        <v>88.402034333696463</v>
      </c>
      <c r="W24" s="316">
        <f>MOD(W9-W17,360)</f>
        <v>5.8603447238448609</v>
      </c>
      <c r="X24" s="63"/>
      <c r="Y24" s="74">
        <f>MOD(Y9-Y17,360)</f>
        <v>88.236181684420558</v>
      </c>
      <c r="AA24" s="74">
        <f>MOD(AA9-AA17,360)</f>
        <v>200.56561677997485</v>
      </c>
      <c r="AB24" s="63"/>
      <c r="AC24" s="74">
        <f>MOD(AC9-AC17,360)</f>
        <v>186.89349489299161</v>
      </c>
      <c r="AE24" s="74">
        <f>MOD(AE9-AE17,360)</f>
        <v>188.79477861523333</v>
      </c>
      <c r="AF24" s="63"/>
      <c r="AG24" s="74">
        <f>MOD(AG9-AG17,360)</f>
        <v>186.37116801583102</v>
      </c>
      <c r="AI24" s="74">
        <f>MOD(AI9-AI17,360)</f>
        <v>90.959596594839638</v>
      </c>
      <c r="AJ24" s="63"/>
      <c r="AK24" s="74">
        <f>MOD(AK9-AK17,360)</f>
        <v>87.40615927996771</v>
      </c>
      <c r="AM24" s="74">
        <f>MOD(AM9-AM17,360)</f>
        <v>86.341825800131005</v>
      </c>
      <c r="AN24" s="63"/>
      <c r="AO24" s="74">
        <f>MOD(AO9-AO17,360)</f>
        <v>85.710846671181002</v>
      </c>
    </row>
    <row r="25" spans="1:41" x14ac:dyDescent="0.3">
      <c r="A25" s="118" t="s">
        <v>36</v>
      </c>
      <c r="D25" s="63"/>
      <c r="E25" s="63"/>
      <c r="F25" s="63"/>
      <c r="G25" s="63"/>
      <c r="L25" s="63"/>
      <c r="M25" s="63"/>
      <c r="P25" s="63"/>
      <c r="Q25" s="63"/>
      <c r="T25" s="63"/>
      <c r="U25" s="63"/>
      <c r="X25" s="63"/>
      <c r="Y25" s="63"/>
      <c r="AB25" s="63"/>
      <c r="AC25" s="63"/>
      <c r="AF25" s="63"/>
      <c r="AG25" s="63"/>
      <c r="AJ25" s="63"/>
      <c r="AK25" s="63"/>
      <c r="AN25" s="63"/>
      <c r="AO25" s="63"/>
    </row>
    <row r="26" spans="1:41" x14ac:dyDescent="0.3">
      <c r="A26" s="118" t="s">
        <v>35</v>
      </c>
      <c r="C26" s="118">
        <f>C24-$C25</f>
        <v>86.59274938367497</v>
      </c>
      <c r="D26" s="63"/>
      <c r="E26" s="118">
        <f>E24-$C25</f>
        <v>85.112252121752135</v>
      </c>
      <c r="F26" s="63"/>
      <c r="G26" s="118">
        <f>G24-$C25</f>
        <v>84.35063118061862</v>
      </c>
      <c r="I26" s="118">
        <f>I24-$C25</f>
        <v>85.224604099077112</v>
      </c>
      <c r="K26" s="118">
        <f>K24-$C25</f>
        <v>173.89825742231915</v>
      </c>
      <c r="L26" s="63"/>
      <c r="M26" s="118">
        <f>M24-$C25</f>
        <v>183.20433381964824</v>
      </c>
      <c r="O26" s="311">
        <f>O24-$C25</f>
        <v>214.80980825409009</v>
      </c>
      <c r="P26" s="63"/>
      <c r="Q26" s="118">
        <f>Q24-$C25</f>
        <v>177.79269001427167</v>
      </c>
      <c r="S26" s="311">
        <f>S24-$C25</f>
        <v>123.55535663140856</v>
      </c>
      <c r="T26" s="63"/>
      <c r="U26" s="118">
        <f>U24-$C25</f>
        <v>88.402034333696463</v>
      </c>
      <c r="W26" s="311">
        <f>W24-$C25</f>
        <v>5.8603447238448609</v>
      </c>
      <c r="X26" s="63"/>
      <c r="Y26" s="118">
        <f>Y24-$C25</f>
        <v>88.236181684420558</v>
      </c>
      <c r="AA26" s="118">
        <f>AA24-$C25</f>
        <v>200.56561677997485</v>
      </c>
      <c r="AB26" s="63"/>
      <c r="AC26" s="118">
        <f>AC24-$C25</f>
        <v>186.89349489299161</v>
      </c>
      <c r="AE26" s="118">
        <f>AE24-$C25</f>
        <v>188.79477861523333</v>
      </c>
      <c r="AF26" s="63"/>
      <c r="AG26" s="118">
        <f>AG24-$C25</f>
        <v>186.37116801583102</v>
      </c>
      <c r="AI26" s="118">
        <f>AI24-$C25</f>
        <v>90.959596594839638</v>
      </c>
      <c r="AJ26" s="63"/>
      <c r="AK26" s="118">
        <f>AK24-$C25</f>
        <v>87.40615927996771</v>
      </c>
      <c r="AM26" s="118">
        <f>AM24-$C25</f>
        <v>86.341825800131005</v>
      </c>
      <c r="AN26" s="63"/>
      <c r="AO26" s="118">
        <f>AO24-$C25</f>
        <v>85.710846671181002</v>
      </c>
    </row>
    <row r="27" spans="1:41" x14ac:dyDescent="0.3">
      <c r="A27" s="118" t="s">
        <v>67</v>
      </c>
      <c r="C27" s="118">
        <f>SQRT(C16)</f>
        <v>3.6367567969277244</v>
      </c>
      <c r="D27" s="63"/>
      <c r="E27" s="63">
        <f>SQRT(E16)</f>
        <v>8.0059734681019208</v>
      </c>
      <c r="F27" s="63"/>
      <c r="G27" s="63">
        <f>SQRT(G16)</f>
        <v>8.0059734681019208</v>
      </c>
      <c r="I27" s="118">
        <f>SQRT(I16)</f>
        <v>1.2441864811996632</v>
      </c>
      <c r="K27" s="118">
        <f>SQRT(K16)</f>
        <v>1.2441864811996632</v>
      </c>
      <c r="L27" s="63"/>
      <c r="M27" s="63">
        <f>SQRT(M16)</f>
        <v>7.9363350469637277</v>
      </c>
      <c r="O27" s="311">
        <f>SQRT(O16)</f>
        <v>1.6140012391568972</v>
      </c>
      <c r="P27" s="63"/>
      <c r="Q27" s="63">
        <f>SQRT(Q16)</f>
        <v>6.7997981748692116</v>
      </c>
      <c r="S27" s="311">
        <f>SQRT(S16)</f>
        <v>1.6140012391568972</v>
      </c>
      <c r="T27" s="63"/>
      <c r="U27" s="63">
        <f>SQRT(U16)</f>
        <v>6.7997981748692116</v>
      </c>
      <c r="W27" s="311">
        <f>SQRT(W16)</f>
        <v>1.2653062870309306</v>
      </c>
      <c r="X27" s="63"/>
      <c r="Y27" s="63">
        <f>SQRT(Y16)</f>
        <v>8.3353425206261509</v>
      </c>
      <c r="AA27" s="118">
        <f>SQRT(AA16)</f>
        <v>1.2653062870309306</v>
      </c>
      <c r="AB27" s="63"/>
      <c r="AC27" s="63">
        <f>SQRT(AC16)</f>
        <v>8.3353425206261509</v>
      </c>
      <c r="AE27" s="118">
        <f>SQRT(AE16)</f>
        <v>2.6827224977623012</v>
      </c>
      <c r="AF27" s="63"/>
      <c r="AG27" s="63">
        <f>SQRT(AG16)</f>
        <v>8.5572024216219056</v>
      </c>
      <c r="AI27" s="118">
        <f>SQRT(AI16)</f>
        <v>2.6827224977623012</v>
      </c>
      <c r="AJ27" s="63"/>
      <c r="AK27" s="63">
        <f>SQRT(AK16)</f>
        <v>8.5572024216219056</v>
      </c>
      <c r="AM27" s="118">
        <f>SQRT(AM16)</f>
        <v>2.1743964679883012</v>
      </c>
      <c r="AN27" s="63"/>
      <c r="AO27" s="63">
        <f>SQRT(AO16)</f>
        <v>7.9909979543785763</v>
      </c>
    </row>
    <row r="28" spans="1:41" x14ac:dyDescent="0.3">
      <c r="A28" s="129" t="s">
        <v>68</v>
      </c>
      <c r="C28" s="118">
        <f>C27*C21</f>
        <v>0.42645168081817725</v>
      </c>
      <c r="D28" s="63"/>
      <c r="E28" s="118">
        <f>E27*E21</f>
        <v>0.8922892157335488</v>
      </c>
      <c r="F28" s="63"/>
      <c r="G28" s="118">
        <f>G27*G21</f>
        <v>0.91844492319978577</v>
      </c>
      <c r="I28" s="118">
        <f>I27*I21</f>
        <v>0.13227826929734865</v>
      </c>
      <c r="K28" s="118">
        <f>K27*K21</f>
        <v>0.15455060399463452</v>
      </c>
      <c r="L28" s="63"/>
      <c r="M28" s="118">
        <f>M27*M21</f>
        <v>0.9634977141370682</v>
      </c>
      <c r="O28" s="311">
        <f>O27*O21</f>
        <v>0.23215319745464333</v>
      </c>
      <c r="P28" s="63"/>
      <c r="Q28" s="118">
        <f>Q27*Q21</f>
        <v>0.67274243944626444</v>
      </c>
      <c r="S28" s="311">
        <f>S27*S21</f>
        <v>0.27783941141803098</v>
      </c>
      <c r="T28" s="63"/>
      <c r="U28" s="118">
        <f>U27*U21</f>
        <v>0.67442432135729014</v>
      </c>
      <c r="W28" s="311">
        <f>W27*W21</f>
        <v>0.124441162894926</v>
      </c>
      <c r="X28" s="63"/>
      <c r="Y28" s="118">
        <f>Y27*Y21</f>
        <v>0.93816530824277877</v>
      </c>
      <c r="AA28" s="118">
        <f>AA27*AA21</f>
        <v>0.14432909379165659</v>
      </c>
      <c r="AB28" s="63"/>
      <c r="AC28" s="118">
        <f>AC27*AC21</f>
        <v>0.99298082091359818</v>
      </c>
      <c r="AE28" s="118">
        <f>AE27*AE21</f>
        <v>0.31657641063069486</v>
      </c>
      <c r="AF28" s="63"/>
      <c r="AG28" s="118">
        <f>AG27*AG21</f>
        <v>1.0225570660126055</v>
      </c>
      <c r="AI28" s="118">
        <f>AI27*AI21</f>
        <v>0.31537093763663177</v>
      </c>
      <c r="AJ28" s="63"/>
      <c r="AK28" s="118">
        <f>AK27*AK21</f>
        <v>1.050277272901128</v>
      </c>
      <c r="AM28" s="118">
        <f>AM27*AM21</f>
        <v>0.24917071831293108</v>
      </c>
      <c r="AN28" s="63"/>
      <c r="AO28" s="118">
        <f>AO27*AO21</f>
        <v>0.90865077375968573</v>
      </c>
    </row>
    <row r="29" spans="1:41" x14ac:dyDescent="0.3">
      <c r="A29" s="139" t="s">
        <v>69</v>
      </c>
      <c r="B29" s="118" t="s">
        <v>357</v>
      </c>
      <c r="C29" s="139">
        <f>SUM(B28:M28,Q28,U28,Y28:AO28)/SUM(B27:M27,Q27,U27,Y27:AO27)</f>
        <v>0.11429466885938162</v>
      </c>
      <c r="D29" s="63"/>
      <c r="E29" s="63"/>
      <c r="F29" s="63"/>
      <c r="G29" s="63"/>
      <c r="H29" s="118" t="s">
        <v>357</v>
      </c>
      <c r="I29" s="139">
        <f>SUM(H28:AG28)/SUM(H27:AG27)</f>
        <v>0.1152041813341405</v>
      </c>
      <c r="J29" s="118" t="s">
        <v>357</v>
      </c>
      <c r="K29" s="139">
        <f>SUM(J28:AI28)/SUM(J27:AI27)</f>
        <v>0.11549788499758187</v>
      </c>
      <c r="L29" s="63"/>
      <c r="M29" s="63"/>
      <c r="N29" s="311" t="s">
        <v>357</v>
      </c>
      <c r="O29" s="317">
        <f>SUM(N28:AM28)/SUM(N27:AM27)</f>
        <v>0.11553502081925311</v>
      </c>
      <c r="P29" s="63"/>
      <c r="Q29" s="63"/>
      <c r="R29" s="311" t="s">
        <v>357</v>
      </c>
      <c r="S29" s="317">
        <f>SUM(R28:AO28)/SUM(R27:AO27)</f>
        <v>0.11640795832964654</v>
      </c>
      <c r="T29" s="63"/>
      <c r="U29" s="63"/>
      <c r="V29" s="311" t="s">
        <v>357</v>
      </c>
      <c r="W29" s="317">
        <f>SUM(V28:AS28)/SUM(V27:AS27)</f>
        <v>0.11693199480003214</v>
      </c>
      <c r="X29" s="63"/>
      <c r="Y29" s="63"/>
      <c r="Z29" s="118" t="s">
        <v>357</v>
      </c>
      <c r="AA29" s="139">
        <f>SUM(Z28:AW28)/SUM(Z27:AW27)</f>
        <v>0.11835264284310837</v>
      </c>
      <c r="AB29" s="63"/>
      <c r="AC29" s="63"/>
      <c r="AD29" s="118" t="s">
        <v>357</v>
      </c>
      <c r="AE29" s="139">
        <f>SUM(AD28:BA28)/SUM(AD27:BA27)</f>
        <v>0.11832054765331228</v>
      </c>
      <c r="AF29" s="63"/>
      <c r="AG29" s="63"/>
      <c r="AH29" s="118" t="s">
        <v>357</v>
      </c>
      <c r="AI29" s="139">
        <f>SUM(AH28:BE28)/SUM(AH27:BE27)</f>
        <v>0.11788984141378112</v>
      </c>
      <c r="AJ29" s="63"/>
      <c r="AK29" s="63"/>
      <c r="AL29" s="118" t="s">
        <v>357</v>
      </c>
      <c r="AM29" s="139">
        <f>SUM(AL28:BI28)/SUM(AL27:BI27)</f>
        <v>0.11389833428647558</v>
      </c>
      <c r="AN29" s="63"/>
      <c r="AO29" s="63"/>
    </row>
    <row r="30" spans="1:41" x14ac:dyDescent="0.3">
      <c r="A30" s="118" t="s">
        <v>72</v>
      </c>
      <c r="B30" s="118">
        <f>SQRT(SUMSQ(C30:E30)/SUM(C27:E27))</f>
        <v>1.2040096189382496E-3</v>
      </c>
      <c r="C30" s="139">
        <f>C21-$C$29</f>
        <v>2.9668651476317115E-3</v>
      </c>
      <c r="D30" s="63"/>
      <c r="E30" s="139">
        <f>E21-$C29</f>
        <v>-2.8417369593842917E-3</v>
      </c>
      <c r="F30" s="63"/>
      <c r="G30" s="139">
        <f>G21-$C29</f>
        <v>4.2528704093855452E-4</v>
      </c>
      <c r="H30" s="118">
        <f>SQRT(SUMSQ(I30:K30)/SUM(I27:K27))</f>
        <v>8.4659995389169754E-3</v>
      </c>
      <c r="I30" s="139">
        <f>I21-$C$29</f>
        <v>-7.9775923630963086E-3</v>
      </c>
      <c r="J30" s="118">
        <f>SQRT(SUMSQ(K30:M30)/SUM(K27:M27))</f>
        <v>4.0287829993523568E-3</v>
      </c>
      <c r="K30" s="139">
        <f>K21-$C$29</f>
        <v>9.9235302048089197E-3</v>
      </c>
      <c r="L30" s="63"/>
      <c r="M30" s="139">
        <f>M21-$C29</f>
        <v>7.1086877826343764E-3</v>
      </c>
      <c r="N30" s="311">
        <f>SQRT(SUMSQ(O30:S30)/SUM(O27:S27))</f>
        <v>2.2060048042093491E-2</v>
      </c>
      <c r="O30" s="317">
        <f>O21-$C$29</f>
        <v>2.9542393853105989E-2</v>
      </c>
      <c r="P30" s="63"/>
      <c r="Q30" s="139">
        <f>Q21-$C29</f>
        <v>-1.5359020749619298E-2</v>
      </c>
      <c r="R30" s="311">
        <f>SQRT(SUMSQ(S30:U30)/SUM(S27:U27))</f>
        <v>2.0612518094292216E-2</v>
      </c>
      <c r="S30" s="317">
        <f>S21-$C$29</f>
        <v>5.7848576559169265E-2</v>
      </c>
      <c r="T30" s="63"/>
      <c r="U30" s="139">
        <f>U21-$C29</f>
        <v>-1.5111677833289566E-2</v>
      </c>
      <c r="V30" s="311">
        <f>SQRT(SUMSQ(W30:Y30)/SUM(W27:Y27))</f>
        <v>5.1769988131307124E-3</v>
      </c>
      <c r="W30" s="317">
        <f>W21-$C$29</f>
        <v>-1.5946020654266035E-2</v>
      </c>
      <c r="X30" s="63"/>
      <c r="Y30" s="139">
        <f>Y21-$C29</f>
        <v>-1.7419686048630173E-3</v>
      </c>
      <c r="Z30" s="118">
        <f>SQRT(SUMSQ(AA30:AC30)/SUM(AA27:AC27))</f>
        <v>1.5619496847547125E-3</v>
      </c>
      <c r="AA30" s="139">
        <f>AA21-$C$29</f>
        <v>-2.2814182873828748E-4</v>
      </c>
      <c r="AB30" s="63"/>
      <c r="AC30" s="139">
        <f>AC21-$C29</f>
        <v>4.8343073592231889E-3</v>
      </c>
      <c r="AD30" s="118">
        <f>SQRT(SUMSQ(AE30:AG30)/SUM(AE27:AG27))</f>
        <v>1.905982108327283E-3</v>
      </c>
      <c r="AE30" s="139">
        <f>AE21-$C$29</f>
        <v>3.7109805861931383E-3</v>
      </c>
      <c r="AF30" s="63"/>
      <c r="AG30" s="139">
        <f>AG21-$C29</f>
        <v>5.2019861956466712E-3</v>
      </c>
      <c r="AH30" s="118">
        <f>SQRT(SUMSQ(AI30:AK30)/SUM(AI27:AK27))</f>
        <v>2.699278487711859E-3</v>
      </c>
      <c r="AI30" s="139">
        <f>AI21-$C$29</f>
        <v>3.261633702544689E-3</v>
      </c>
      <c r="AJ30" s="63"/>
      <c r="AK30" s="139">
        <f>AK21-$C29</f>
        <v>8.4413868224777477E-3</v>
      </c>
      <c r="AL30" s="118">
        <f>SQRT(SUMSQ(AM30:AO30)/SUM(AM27:AO27))</f>
        <v>2.0607387384380366E-4</v>
      </c>
      <c r="AM30" s="139">
        <f>AM21-$C$29</f>
        <v>2.9837890410089329E-4</v>
      </c>
      <c r="AN30" s="63"/>
      <c r="AO30" s="139">
        <f>AO21-$C29</f>
        <v>-5.8537010254726407E-4</v>
      </c>
    </row>
    <row r="31" spans="1:41" x14ac:dyDescent="0.3">
      <c r="A31" s="129" t="s">
        <v>119</v>
      </c>
      <c r="C31" s="118">
        <f>C27*C24</f>
        <v>314.91676988573897</v>
      </c>
      <c r="D31" s="63"/>
      <c r="E31" s="63">
        <f>E27*E24</f>
        <v>681.40643229714897</v>
      </c>
      <c r="F31" s="63"/>
      <c r="G31" s="63">
        <f>G27*G24</f>
        <v>675.30891524968331</v>
      </c>
      <c r="I31" s="118">
        <f>I27*I24</f>
        <v>106.03530028566514</v>
      </c>
      <c r="K31" s="118">
        <f>K27*K24</f>
        <v>216.36186098902849</v>
      </c>
      <c r="L31" s="63"/>
      <c r="M31" s="63">
        <f>M27*M24</f>
        <v>1453.9709752485164</v>
      </c>
      <c r="O31" s="311">
        <f>O27*O24</f>
        <v>346.7032967051569</v>
      </c>
      <c r="P31" s="63"/>
      <c r="Q31" s="63">
        <f>Q27*Q24</f>
        <v>1208.9544090641321</v>
      </c>
      <c r="S31" s="311">
        <f>S27*S24</f>
        <v>199.41849870756576</v>
      </c>
      <c r="T31" s="63"/>
      <c r="U31" s="63">
        <f>U27*U24</f>
        <v>601.11599171699459</v>
      </c>
      <c r="W31" s="311">
        <f>W27*W24</f>
        <v>7.4151310232494456</v>
      </c>
      <c r="X31" s="63"/>
      <c r="Y31" s="63">
        <f>Y27*Y24</f>
        <v>735.47879705184505</v>
      </c>
      <c r="AA31" s="118">
        <f>AA27*AA24</f>
        <v>253.7769358739385</v>
      </c>
      <c r="AB31" s="63"/>
      <c r="AC31" s="63">
        <f>AC27*AC24</f>
        <v>1557.8212948099795</v>
      </c>
      <c r="AE31" s="118">
        <f>AE27*AE24</f>
        <v>506.48400005113945</v>
      </c>
      <c r="AF31" s="63"/>
      <c r="AG31" s="63">
        <f>AG27*AG24</f>
        <v>1594.8158102655723</v>
      </c>
      <c r="AI31" s="118">
        <f>AI27*AI24</f>
        <v>244.01935617235949</v>
      </c>
      <c r="AJ31" s="63"/>
      <c r="AK31" s="63">
        <f>AK27*AK24</f>
        <v>747.95219785520965</v>
      </c>
      <c r="AM31" s="118">
        <f>AM27*AM24</f>
        <v>187.74136105946604</v>
      </c>
      <c r="AN31" s="63"/>
      <c r="AO31" s="63">
        <f>AO27*AO24</f>
        <v>684.91520041746321</v>
      </c>
    </row>
    <row r="32" spans="1:41" x14ac:dyDescent="0.3">
      <c r="A32" s="261" t="s">
        <v>120</v>
      </c>
      <c r="C32" s="139">
        <f>MOD(SUM(B31:I31)/SUM(B27:I27),360)</f>
        <v>85.084801551240943</v>
      </c>
      <c r="D32" s="63"/>
      <c r="E32" s="63"/>
      <c r="F32" s="63"/>
      <c r="G32" s="63"/>
      <c r="I32" s="139"/>
      <c r="K32" s="139">
        <f>MOD(SUM(J31:M31,Q31)/SUM(J27:M27,Q27),360)</f>
        <v>180.17707397651574</v>
      </c>
      <c r="L32" s="63"/>
      <c r="M32" s="63"/>
      <c r="O32" s="317"/>
      <c r="P32" s="63"/>
      <c r="Q32" s="63"/>
      <c r="S32" s="92">
        <f>MOD(SUM(U31,Y31)/SUM(U27,Y27),360)</f>
        <v>88.310694671417707</v>
      </c>
      <c r="T32" s="63"/>
      <c r="U32" s="63"/>
      <c r="W32" s="317"/>
      <c r="X32" s="63"/>
      <c r="Y32" s="63"/>
      <c r="AA32" s="139">
        <f>MOD(SUM(Z31:AG31)/SUM(Z27:AG27),360)</f>
        <v>187.75385420044955</v>
      </c>
      <c r="AB32" s="63"/>
      <c r="AC32" s="63"/>
      <c r="AE32" s="139"/>
      <c r="AF32" s="63"/>
      <c r="AG32" s="63"/>
      <c r="AI32" s="139">
        <f>MOD(SUM(AH31:AO31)/SUM(AH27:AO27),360)</f>
        <v>87.110502101575321</v>
      </c>
      <c r="AJ32" s="63"/>
      <c r="AK32" s="63"/>
      <c r="AM32" s="139"/>
      <c r="AN32" s="63"/>
      <c r="AO32" s="63"/>
    </row>
    <row r="33" spans="1:41" x14ac:dyDescent="0.3">
      <c r="A33" s="118" t="s">
        <v>121</v>
      </c>
      <c r="B33" s="118">
        <f>SQRT(SUMSQ(C33:E33)/SUM(C27:E27))</f>
        <v>0.44200872923284618</v>
      </c>
      <c r="C33" s="139">
        <f>C24-$C$32</f>
        <v>1.5079478324340272</v>
      </c>
      <c r="D33" s="63"/>
      <c r="E33" s="139">
        <f>E24-$C$32</f>
        <v>2.7450570511192041E-2</v>
      </c>
      <c r="F33" s="63"/>
      <c r="G33" s="139">
        <f>G24-$C$32</f>
        <v>-0.73417037062232282</v>
      </c>
      <c r="H33" s="118">
        <f>SQRT(SUMSQ(I33:K33)/SUM(I27:K27))</f>
        <v>62.742310531633699</v>
      </c>
      <c r="I33" s="139">
        <f>I24-$C$32</f>
        <v>0.13980254783616886</v>
      </c>
      <c r="J33" s="118">
        <f>SQRT(SUMSQ(K33:M33)/SUM(K27:M27))</f>
        <v>43.679209826800403</v>
      </c>
      <c r="K33" s="139">
        <f>K24-$C$32</f>
        <v>88.813455871078204</v>
      </c>
      <c r="L33" s="63"/>
      <c r="M33" s="139">
        <f>M24-$C$32</f>
        <v>98.119532268407298</v>
      </c>
      <c r="N33" s="311">
        <f>SQRT(SUMSQ(O33:S33)/SUM(O27:S27))</f>
        <v>51.966762523444913</v>
      </c>
      <c r="O33" s="317">
        <f>O24-$C$32</f>
        <v>129.72500670284916</v>
      </c>
      <c r="P33" s="63"/>
      <c r="Q33" s="139">
        <f>Q24-$C$32</f>
        <v>92.707888463030727</v>
      </c>
      <c r="R33" s="311">
        <f>SQRT(SUMSQ(S33:U33)/SUM(S27:U27))</f>
        <v>13.311927533079265</v>
      </c>
      <c r="S33" s="317">
        <f>S24-$C$32</f>
        <v>38.470555080167614</v>
      </c>
      <c r="T33" s="63"/>
      <c r="U33" s="139">
        <f>U24-$C$32</f>
        <v>3.3172327824555197</v>
      </c>
      <c r="V33" s="311">
        <f>SQRT(SUMSQ(W33:Y33)/SUM(W27:Y27))</f>
        <v>25.588939914457111</v>
      </c>
      <c r="W33" s="317">
        <f>W24-$C$32</f>
        <v>-79.224456827396082</v>
      </c>
      <c r="X33" s="63"/>
      <c r="Y33" s="139">
        <f>Y24-$C$32</f>
        <v>3.1513801331796145</v>
      </c>
      <c r="Z33" s="118">
        <f>SQRT(SUMSQ(AA33:AC33)/SUM(AA27:AC27))</f>
        <v>49.685707026543781</v>
      </c>
      <c r="AA33" s="139">
        <f>AA24-$C$32</f>
        <v>115.4808152287339</v>
      </c>
      <c r="AB33" s="63"/>
      <c r="AC33" s="139">
        <f>AC24-$C$32</f>
        <v>101.80869334175067</v>
      </c>
      <c r="AD33" s="118">
        <f>SQRT(SUMSQ(AE33:AG33)/SUM(AE27:AG27))</f>
        <v>43.23941022765559</v>
      </c>
      <c r="AE33" s="139">
        <f>AE24-$C$32</f>
        <v>103.70997706399238</v>
      </c>
      <c r="AF33" s="63"/>
      <c r="AG33" s="139">
        <f>AG24-$C$32</f>
        <v>101.28636646459007</v>
      </c>
      <c r="AH33" s="118">
        <f>SQRT(SUMSQ(AI33:AK33)/SUM(AI27:AK27))</f>
        <v>1.8841487370178132</v>
      </c>
      <c r="AI33" s="139">
        <f>AI24-$C$32</f>
        <v>5.8747950435986951</v>
      </c>
      <c r="AJ33" s="63"/>
      <c r="AK33" s="139">
        <f>AK24-$C$32</f>
        <v>2.3213577287267668</v>
      </c>
      <c r="AL33" s="118">
        <f>SQRT(SUMSQ(AM33:AO33)/SUM(AM27:AO27))</f>
        <v>0.44044939022393609</v>
      </c>
      <c r="AM33" s="139">
        <f>AM24-$C$32</f>
        <v>1.2570242488900618</v>
      </c>
      <c r="AN33" s="63"/>
      <c r="AO33" s="139">
        <f>AO24-$C$32</f>
        <v>0.62604511994005918</v>
      </c>
    </row>
    <row r="34" spans="1:41" s="305" customFormat="1" ht="75.75" customHeight="1" x14ac:dyDescent="0.3">
      <c r="A34" s="251" t="s">
        <v>40</v>
      </c>
      <c r="B34" s="384"/>
      <c r="C34" s="384"/>
      <c r="D34" s="304"/>
      <c r="E34" s="304"/>
      <c r="F34" s="304"/>
      <c r="G34" s="304"/>
      <c r="H34" s="384"/>
      <c r="I34" s="384"/>
      <c r="J34" s="384"/>
      <c r="K34" s="384"/>
      <c r="L34" s="304"/>
      <c r="M34" s="304"/>
      <c r="N34" s="433"/>
      <c r="O34" s="433"/>
      <c r="P34" s="304"/>
      <c r="Q34" s="304"/>
      <c r="R34" s="433"/>
      <c r="S34" s="433"/>
      <c r="T34" s="304"/>
      <c r="U34" s="304"/>
      <c r="V34" s="433"/>
      <c r="W34" s="433"/>
      <c r="X34" s="304"/>
      <c r="Y34" s="304"/>
      <c r="Z34" s="384"/>
      <c r="AA34" s="384"/>
      <c r="AB34" s="304"/>
      <c r="AC34" s="304"/>
      <c r="AD34" s="384"/>
      <c r="AE34" s="384"/>
      <c r="AF34" s="304"/>
      <c r="AG34" s="304"/>
      <c r="AH34" s="384"/>
      <c r="AI34" s="384"/>
      <c r="AJ34" s="304"/>
      <c r="AK34" s="304"/>
      <c r="AL34" s="384"/>
      <c r="AM34" s="384"/>
      <c r="AN34" s="304"/>
      <c r="AO34" s="304"/>
    </row>
    <row r="35" spans="1:41" s="127" customFormat="1" x14ac:dyDescent="0.3">
      <c r="A35" s="120" t="s">
        <v>54</v>
      </c>
      <c r="B35" s="120"/>
      <c r="C35" s="120"/>
      <c r="D35" s="67"/>
      <c r="E35" s="67"/>
      <c r="F35" s="67"/>
      <c r="G35" s="67"/>
      <c r="H35" s="120"/>
      <c r="I35" s="120"/>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12.891365468950543</v>
      </c>
      <c r="D36" s="63" t="e">
        <f>A36*#REF!/A29</f>
        <v>#VALUE!</v>
      </c>
      <c r="E36" s="63" t="s">
        <v>358</v>
      </c>
      <c r="F36" s="63" t="e">
        <f>C36*#REF!/C29</f>
        <v>#REF!</v>
      </c>
      <c r="G36" s="63" t="s">
        <v>358</v>
      </c>
      <c r="I36" s="147">
        <f>I8*$C29</f>
        <v>1.6641554981104525</v>
      </c>
      <c r="K36" s="147">
        <f>K8*$C29</f>
        <v>1.4243335415199025</v>
      </c>
      <c r="L36" s="63" t="e">
        <f>I36*#REF!/I29</f>
        <v>#REF!</v>
      </c>
      <c r="M36" s="63" t="s">
        <v>358</v>
      </c>
      <c r="O36" s="313">
        <f>O8*$C29</f>
        <v>2.0699644915151638</v>
      </c>
      <c r="P36" s="63" t="e">
        <f>M36*#REF!/M29</f>
        <v>#VALUE!</v>
      </c>
      <c r="Q36" s="63" t="s">
        <v>358</v>
      </c>
      <c r="S36" s="313">
        <f>S8*$C29</f>
        <v>1.72959218733658</v>
      </c>
      <c r="T36" s="63" t="e">
        <f>Q36*#REF!/Q29</f>
        <v>#VALUE!</v>
      </c>
      <c r="U36" s="63" t="s">
        <v>358</v>
      </c>
      <c r="W36" s="313">
        <f>W8*$C29</f>
        <v>1.8605824094524972</v>
      </c>
      <c r="X36" s="63" t="e">
        <f>U36*#REF!/U29</f>
        <v>#VALUE!</v>
      </c>
      <c r="Y36" s="63" t="s">
        <v>358</v>
      </c>
      <c r="AA36" s="147">
        <f>AA8*$C29</f>
        <v>1.6042021231584604</v>
      </c>
      <c r="AB36" s="63" t="e">
        <f>Y36*#REF!/Y29</f>
        <v>#VALUE!</v>
      </c>
      <c r="AC36" s="63" t="s">
        <v>358</v>
      </c>
      <c r="AE36" s="147">
        <f>AE8*$C29</f>
        <v>6.9706724690359003</v>
      </c>
      <c r="AF36" s="63" t="e">
        <f>AC36*#REF!/AC29</f>
        <v>#VALUE!</v>
      </c>
      <c r="AG36" s="63" t="s">
        <v>358</v>
      </c>
      <c r="AI36" s="147">
        <f>AI8*$C29</f>
        <v>6.9973171480759317</v>
      </c>
      <c r="AJ36" s="63" t="e">
        <f>AG36*#REF!/AG29</f>
        <v>#VALUE!</v>
      </c>
      <c r="AK36" s="63" t="s">
        <v>358</v>
      </c>
      <c r="AM36" s="147">
        <f>AM8*$C29</f>
        <v>4.7156891706248993</v>
      </c>
      <c r="AN36" s="63" t="e">
        <f>AK36*#REF!/AK29</f>
        <v>#VALUE!</v>
      </c>
      <c r="AO36" s="63" t="s">
        <v>358</v>
      </c>
    </row>
    <row r="37" spans="1:41" x14ac:dyDescent="0.3">
      <c r="A37" s="118" t="s">
        <v>50</v>
      </c>
      <c r="C37" s="141">
        <f>C36-C16</f>
        <v>-0.33463453104945806</v>
      </c>
      <c r="D37" s="63"/>
      <c r="E37" s="63"/>
      <c r="F37" s="63"/>
      <c r="G37" s="63"/>
      <c r="I37" s="141">
        <f>I36-I16</f>
        <v>0.11615549811045245</v>
      </c>
      <c r="K37" s="141">
        <f>K36-K16</f>
        <v>-0.1236664584800975</v>
      </c>
      <c r="L37" s="63"/>
      <c r="M37" s="63"/>
      <c r="O37" s="318">
        <f>O36-O16</f>
        <v>-0.53503550848483616</v>
      </c>
      <c r="P37" s="63"/>
      <c r="Q37" s="63"/>
      <c r="S37" s="318">
        <f>S36-S16</f>
        <v>-0.87540781266341994</v>
      </c>
      <c r="T37" s="63"/>
      <c r="U37" s="63"/>
      <c r="W37" s="318">
        <f>W36-W16</f>
        <v>0.25958240945249722</v>
      </c>
      <c r="X37" s="63"/>
      <c r="Y37" s="63"/>
      <c r="AA37" s="141">
        <f>AA36-AA16</f>
        <v>3.2021231584604681E-3</v>
      </c>
      <c r="AB37" s="63"/>
      <c r="AC37" s="63"/>
      <c r="AE37" s="141">
        <f>AE36-AE16</f>
        <v>-0.22632753096409974</v>
      </c>
      <c r="AF37" s="63"/>
      <c r="AG37" s="63"/>
      <c r="AI37" s="141">
        <f>AI36-AI16</f>
        <v>-0.19968285192406832</v>
      </c>
      <c r="AJ37" s="63"/>
      <c r="AK37" s="63"/>
      <c r="AM37" s="141">
        <f>AM36-AM16</f>
        <v>-1.2310829375100418E-2</v>
      </c>
      <c r="AN37" s="63"/>
      <c r="AO37" s="63"/>
    </row>
    <row r="38" spans="1:41" x14ac:dyDescent="0.3">
      <c r="A38" s="118" t="s">
        <v>51</v>
      </c>
      <c r="C38" s="142">
        <f>C37/C16</f>
        <v>-2.5301265012056408E-2</v>
      </c>
      <c r="D38" s="63"/>
      <c r="E38" s="63"/>
      <c r="F38" s="63"/>
      <c r="G38" s="63"/>
      <c r="I38" s="142">
        <f>I37/I16</f>
        <v>7.5035851492540342E-2</v>
      </c>
      <c r="K38" s="142">
        <f>K37/K16</f>
        <v>-7.9887893074998384E-2</v>
      </c>
      <c r="L38" s="63"/>
      <c r="M38" s="63"/>
      <c r="O38" s="319">
        <f>O37/O16</f>
        <v>-0.20538791112661658</v>
      </c>
      <c r="P38" s="63"/>
      <c r="Q38" s="63"/>
      <c r="S38" s="319">
        <f>S37/S16</f>
        <v>-0.33604906436215737</v>
      </c>
      <c r="T38" s="63"/>
      <c r="U38" s="63"/>
      <c r="W38" s="319">
        <f>W37/W16</f>
        <v>0.16213766986414568</v>
      </c>
      <c r="X38" s="63"/>
      <c r="Y38" s="63"/>
      <c r="AA38" s="142">
        <f>AA37/AA16</f>
        <v>2.000076925959068E-3</v>
      </c>
      <c r="AB38" s="63"/>
      <c r="AC38" s="63"/>
      <c r="AE38" s="142">
        <f>AE37/AE16</f>
        <v>-3.1447482418243675E-2</v>
      </c>
      <c r="AF38" s="63"/>
      <c r="AG38" s="63"/>
      <c r="AI38" s="142">
        <f>AI37/AI16</f>
        <v>-2.7745289971386453E-2</v>
      </c>
      <c r="AJ38" s="63"/>
      <c r="AK38" s="63"/>
      <c r="AM38" s="142">
        <f>AM37/AM16</f>
        <v>-2.6038133196066874E-3</v>
      </c>
      <c r="AN38" s="63"/>
      <c r="AO38" s="63"/>
    </row>
    <row r="39" spans="1:41" x14ac:dyDescent="0.3">
      <c r="A39" s="74" t="s">
        <v>53</v>
      </c>
      <c r="B39" s="118">
        <f>AVERAGE(B37:C37)</f>
        <v>-0.33463453104945806</v>
      </c>
      <c r="C39" s="142">
        <f>AVERAGE(C38:C38)</f>
        <v>-2.5301265012056408E-2</v>
      </c>
      <c r="D39" s="63"/>
      <c r="E39" s="63"/>
      <c r="F39" s="63"/>
      <c r="G39" s="63"/>
      <c r="H39" s="118">
        <f>AVERAGE(H37:I37)</f>
        <v>0.11615549811045245</v>
      </c>
      <c r="I39" s="142">
        <f>AVERAGE(I38:I38)</f>
        <v>7.5035851492540342E-2</v>
      </c>
      <c r="J39" s="118">
        <f>AVERAGE(J37:K37)</f>
        <v>-0.1236664584800975</v>
      </c>
      <c r="K39" s="142">
        <f>AVERAGE(K38:K38)</f>
        <v>-7.9887893074998384E-2</v>
      </c>
      <c r="L39" s="63"/>
      <c r="M39" s="63"/>
      <c r="N39" s="311">
        <f>AVERAGE(N37:O37)</f>
        <v>-0.53503550848483616</v>
      </c>
      <c r="O39" s="319">
        <f>AVERAGE(O38:O38)</f>
        <v>-0.20538791112661658</v>
      </c>
      <c r="P39" s="63"/>
      <c r="Q39" s="63"/>
      <c r="R39" s="311">
        <f>AVERAGE(R37:S37)</f>
        <v>-0.87540781266341994</v>
      </c>
      <c r="S39" s="319">
        <f>AVERAGE(S38:S38)</f>
        <v>-0.33604906436215737</v>
      </c>
      <c r="T39" s="63"/>
      <c r="U39" s="63"/>
      <c r="V39" s="311">
        <f>AVERAGE(V37:W37)</f>
        <v>0.25958240945249722</v>
      </c>
      <c r="W39" s="319">
        <f>AVERAGE(W38:W38)</f>
        <v>0.16213766986414568</v>
      </c>
      <c r="X39" s="63"/>
      <c r="Y39" s="63"/>
      <c r="Z39" s="118">
        <f>AVERAGE(Z37:AA37)</f>
        <v>3.2021231584604681E-3</v>
      </c>
      <c r="AA39" s="142">
        <f>AVERAGE(AA38:AA38)</f>
        <v>2.000076925959068E-3</v>
      </c>
      <c r="AB39" s="63"/>
      <c r="AC39" s="63"/>
      <c r="AD39" s="118">
        <f>AVERAGE(AD37:AE37)</f>
        <v>-0.22632753096409974</v>
      </c>
      <c r="AE39" s="142">
        <f>AVERAGE(AE38:AE38)</f>
        <v>-3.1447482418243675E-2</v>
      </c>
      <c r="AF39" s="63"/>
      <c r="AG39" s="63"/>
      <c r="AH39" s="118">
        <f>AVERAGE(AH37:AI37)</f>
        <v>-0.19968285192406832</v>
      </c>
      <c r="AI39" s="142">
        <f>AVERAGE(AI38:AI38)</f>
        <v>-2.7745289971386453E-2</v>
      </c>
      <c r="AJ39" s="63"/>
      <c r="AK39" s="63"/>
      <c r="AL39" s="118">
        <f>AVERAGE(AL37:AM37)</f>
        <v>-1.2310829375100418E-2</v>
      </c>
      <c r="AM39" s="142">
        <f>AVERAGE(AM38:AM38)</f>
        <v>-2.6038133196066874E-3</v>
      </c>
      <c r="AN39" s="63"/>
      <c r="AO39" s="63"/>
    </row>
    <row r="40" spans="1:41" x14ac:dyDescent="0.3">
      <c r="A40" s="74" t="s">
        <v>52</v>
      </c>
      <c r="B40" s="118" t="e">
        <f>STDEV(B37:C37)</f>
        <v>#DIV/0!</v>
      </c>
      <c r="C40" s="142" t="e">
        <f>STDEV(C38:C38)</f>
        <v>#DIV/0!</v>
      </c>
      <c r="D40" s="63"/>
      <c r="E40" s="63"/>
      <c r="F40" s="63"/>
      <c r="G40" s="63"/>
      <c r="H40" s="118" t="e">
        <f>STDEV(H37:I37)</f>
        <v>#DIV/0!</v>
      </c>
      <c r="I40" s="142" t="e">
        <f>STDEV(I38:I38)</f>
        <v>#DIV/0!</v>
      </c>
      <c r="J40" s="118" t="e">
        <f>STDEV(J37:K37)</f>
        <v>#DIV/0!</v>
      </c>
      <c r="K40" s="142" t="e">
        <f>STDEV(K38:K38)</f>
        <v>#DIV/0!</v>
      </c>
      <c r="L40" s="63"/>
      <c r="M40" s="63"/>
      <c r="N40" s="311" t="e">
        <f>STDEV(N37:O37)</f>
        <v>#DIV/0!</v>
      </c>
      <c r="O40" s="319" t="e">
        <f>STDEV(O38:O38)</f>
        <v>#DIV/0!</v>
      </c>
      <c r="P40" s="63"/>
      <c r="Q40" s="63"/>
      <c r="R40" s="311" t="e">
        <f>STDEV(R37:S37)</f>
        <v>#DIV/0!</v>
      </c>
      <c r="S40" s="319" t="e">
        <f>STDEV(S38:S38)</f>
        <v>#DIV/0!</v>
      </c>
      <c r="T40" s="63"/>
      <c r="U40" s="63"/>
      <c r="V40" s="311" t="e">
        <f>STDEV(V37:W37)</f>
        <v>#DIV/0!</v>
      </c>
      <c r="W40" s="319" t="e">
        <f>STDEV(W38:W38)</f>
        <v>#DIV/0!</v>
      </c>
      <c r="X40" s="63"/>
      <c r="Y40" s="63"/>
      <c r="Z40" s="118" t="e">
        <f>STDEV(Z37:AA37)</f>
        <v>#DIV/0!</v>
      </c>
      <c r="AA40" s="142" t="e">
        <f>STDEV(AA38:AA38)</f>
        <v>#DIV/0!</v>
      </c>
      <c r="AB40" s="63"/>
      <c r="AC40" s="63"/>
      <c r="AD40" s="118" t="e">
        <f>STDEV(AD37:AE37)</f>
        <v>#DIV/0!</v>
      </c>
      <c r="AE40" s="142" t="e">
        <f>STDEV(AE38:AE38)</f>
        <v>#DIV/0!</v>
      </c>
      <c r="AF40" s="63"/>
      <c r="AG40" s="63"/>
      <c r="AH40" s="118" t="e">
        <f>STDEV(AH37:AI37)</f>
        <v>#DIV/0!</v>
      </c>
      <c r="AI40" s="142" t="e">
        <f>STDEV(AI38:AI38)</f>
        <v>#DIV/0!</v>
      </c>
      <c r="AJ40" s="63"/>
      <c r="AK40" s="63"/>
      <c r="AL40" s="118" t="e">
        <f>STDEV(AL37:AM37)</f>
        <v>#DIV/0!</v>
      </c>
      <c r="AM40" s="142" t="e">
        <f>STDEV(AM38:AM38)</f>
        <v>#DIV/0!</v>
      </c>
      <c r="AN40" s="63"/>
      <c r="AO40" s="63"/>
    </row>
    <row r="41" spans="1:41" x14ac:dyDescent="0.3">
      <c r="C41" s="142"/>
      <c r="D41" s="63"/>
      <c r="E41" s="63"/>
      <c r="F41" s="63"/>
      <c r="G41" s="63"/>
      <c r="I41" s="142"/>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323.48794783243403</v>
      </c>
      <c r="D42" s="63" t="e">
        <f>#REF!</f>
        <v>#REF!</v>
      </c>
      <c r="E42" s="141" t="s">
        <v>358</v>
      </c>
      <c r="F42" s="63" t="e">
        <f>#REF!</f>
        <v>#REF!</v>
      </c>
      <c r="G42" s="141" t="s">
        <v>358</v>
      </c>
      <c r="I42" s="141">
        <f>MOD(I9-$C32,360)</f>
        <v>348.96980254783614</v>
      </c>
      <c r="K42" s="141">
        <f>MOD(K9-$K32,360)</f>
        <v>342.55118344580342</v>
      </c>
      <c r="L42" s="63" t="e">
        <f>#REF!</f>
        <v>#REF!</v>
      </c>
      <c r="M42" s="141" t="s">
        <v>358</v>
      </c>
      <c r="O42" s="318">
        <f>MOD(O9-$K32,360)</f>
        <v>263.48273427757431</v>
      </c>
      <c r="P42" s="63" t="e">
        <f>#REF!</f>
        <v>#REF!</v>
      </c>
      <c r="Q42" s="141" t="s">
        <v>358</v>
      </c>
      <c r="S42" s="318">
        <f>MOD(S9-$S32,360)</f>
        <v>264.09466195999084</v>
      </c>
      <c r="T42" s="63" t="e">
        <f>#REF!</f>
        <v>#REF!</v>
      </c>
      <c r="U42" s="141" t="s">
        <v>358</v>
      </c>
      <c r="W42" s="318">
        <f>MOD(W9-$S32,360)</f>
        <v>171.06965005242716</v>
      </c>
      <c r="X42" s="63" t="e">
        <f>#REF!</f>
        <v>#REF!</v>
      </c>
      <c r="Y42" s="141" t="s">
        <v>358</v>
      </c>
      <c r="AA42" s="141">
        <f>MOD(AA9-$AA32,360)</f>
        <v>266.33176257952528</v>
      </c>
      <c r="AB42" s="63" t="e">
        <f>#REF!</f>
        <v>#REF!</v>
      </c>
      <c r="AC42" s="141" t="s">
        <v>358</v>
      </c>
      <c r="AE42" s="141">
        <f>MOD(AE9-$AA32,360)</f>
        <v>142.78092441478378</v>
      </c>
      <c r="AF42" s="63" t="e">
        <f>#REF!</f>
        <v>#REF!</v>
      </c>
      <c r="AG42" s="141" t="s">
        <v>358</v>
      </c>
      <c r="AI42" s="141">
        <f>MOD(AI9-$AI32,360)</f>
        <v>145.58909449326433</v>
      </c>
      <c r="AJ42" s="63" t="e">
        <f>#REF!</f>
        <v>#REF!</v>
      </c>
      <c r="AK42" s="141" t="s">
        <v>358</v>
      </c>
      <c r="AM42" s="141">
        <f>MOD(AM9-$AI32,360)</f>
        <v>55.61132369855568</v>
      </c>
      <c r="AN42" s="63" t="e">
        <f>#REF!</f>
        <v>#REF!</v>
      </c>
      <c r="AO42" s="141" t="s">
        <v>358</v>
      </c>
    </row>
    <row r="43" spans="1:41" x14ac:dyDescent="0.3">
      <c r="A43" s="118" t="s">
        <v>55</v>
      </c>
      <c r="C43" s="141">
        <f>C42-C17</f>
        <v>1.507947832434013</v>
      </c>
      <c r="E43" s="141"/>
      <c r="G43" s="141"/>
      <c r="I43" s="141">
        <f>I42-I17</f>
        <v>0.13980254783615464</v>
      </c>
      <c r="K43" s="141">
        <f>K42-K17</f>
        <v>-6.2788165541965668</v>
      </c>
      <c r="M43" s="141"/>
      <c r="O43" s="318">
        <f>O42-O17</f>
        <v>34.632734277574315</v>
      </c>
      <c r="Q43" s="141"/>
      <c r="S43" s="318">
        <f>S42-S17</f>
        <v>35.24466195999085</v>
      </c>
      <c r="U43" s="141"/>
      <c r="W43" s="318">
        <f>W42-W17</f>
        <v>-82.450349947572846</v>
      </c>
      <c r="Y43" s="141"/>
      <c r="AA43" s="141">
        <f>AA42-AA17</f>
        <v>12.811762579525265</v>
      </c>
      <c r="AC43" s="141"/>
      <c r="AE43" s="141">
        <f>AE42-AE17</f>
        <v>1.040924414783774</v>
      </c>
      <c r="AG43" s="141"/>
      <c r="AI43" s="141">
        <f>AI42-AI17</f>
        <v>3.8490944932643174</v>
      </c>
      <c r="AK43" s="141"/>
      <c r="AM43" s="141">
        <f>AM42-AM17</f>
        <v>-0.76867630144432297</v>
      </c>
      <c r="AO43" s="141"/>
    </row>
    <row r="44" spans="1:41" x14ac:dyDescent="0.3">
      <c r="A44" s="118" t="s">
        <v>56</v>
      </c>
      <c r="B44" s="118">
        <f>AVERAGE(B43:C43)</f>
        <v>1.507947832434013</v>
      </c>
      <c r="C44" s="141"/>
      <c r="E44" s="141"/>
      <c r="G44" s="141"/>
      <c r="H44" s="118">
        <f>AVERAGE(H43:I43)</f>
        <v>0.13980254783615464</v>
      </c>
      <c r="I44" s="141"/>
      <c r="J44" s="118">
        <f>AVERAGE(J43:K43)</f>
        <v>-6.2788165541965668</v>
      </c>
      <c r="K44" s="141"/>
      <c r="M44" s="141"/>
      <c r="N44" s="311">
        <f>AVERAGE(N43:O43)</f>
        <v>34.632734277574315</v>
      </c>
      <c r="O44" s="318"/>
      <c r="Q44" s="141"/>
      <c r="R44" s="311">
        <f>AVERAGE(R43:S43)</f>
        <v>35.24466195999085</v>
      </c>
      <c r="S44" s="318"/>
      <c r="U44" s="141"/>
      <c r="V44" s="311">
        <f>AVERAGE(V43:W43)</f>
        <v>-82.450349947572846</v>
      </c>
      <c r="W44" s="318"/>
      <c r="Y44" s="141"/>
      <c r="Z44" s="118">
        <f>AVERAGE(Z43:AA43)</f>
        <v>12.811762579525265</v>
      </c>
      <c r="AA44" s="141"/>
      <c r="AC44" s="141"/>
      <c r="AD44" s="118">
        <f>AVERAGE(AD43:AE43)</f>
        <v>1.040924414783774</v>
      </c>
      <c r="AE44" s="141"/>
      <c r="AG44" s="141"/>
      <c r="AH44" s="118">
        <f>AVERAGE(AH43:AI43)</f>
        <v>3.8490944932643174</v>
      </c>
      <c r="AI44" s="141"/>
      <c r="AK44" s="141"/>
      <c r="AL44" s="118">
        <f>AVERAGE(AL43:AM43)</f>
        <v>-0.76867630144432297</v>
      </c>
      <c r="AM44" s="141"/>
      <c r="AO44" s="141"/>
    </row>
    <row r="45" spans="1:41" x14ac:dyDescent="0.3">
      <c r="A45" s="118" t="s">
        <v>57</v>
      </c>
      <c r="B45" s="118" t="e">
        <f>STDEV(B43:C43)</f>
        <v>#DIV/0!</v>
      </c>
      <c r="C45" s="141"/>
      <c r="E45" s="141"/>
      <c r="G45" s="141"/>
      <c r="H45" s="118" t="e">
        <f>STDEV(H43:I43)</f>
        <v>#DIV/0!</v>
      </c>
      <c r="I45" s="141"/>
      <c r="J45" s="118" t="e">
        <f>STDEV(J43:K43)</f>
        <v>#DIV/0!</v>
      </c>
      <c r="K45" s="141"/>
      <c r="M45" s="141"/>
      <c r="N45" s="311" t="e">
        <f>STDEV(N43:O43)</f>
        <v>#DIV/0!</v>
      </c>
      <c r="O45" s="318"/>
      <c r="Q45" s="141"/>
      <c r="R45" s="311" t="e">
        <f>STDEV(R43:S43)</f>
        <v>#DIV/0!</v>
      </c>
      <c r="S45" s="318"/>
      <c r="U45" s="141"/>
      <c r="V45" s="311" t="e">
        <f>STDEV(V43:W43)</f>
        <v>#DIV/0!</v>
      </c>
      <c r="W45" s="318"/>
      <c r="Y45" s="141"/>
      <c r="Z45" s="118" t="e">
        <f>STDEV(Z43:AA43)</f>
        <v>#DIV/0!</v>
      </c>
      <c r="AA45" s="141"/>
      <c r="AC45" s="141"/>
      <c r="AD45" s="118" t="e">
        <f>STDEV(AD43:AE43)</f>
        <v>#DIV/0!</v>
      </c>
      <c r="AE45" s="141"/>
      <c r="AG45" s="141"/>
      <c r="AH45" s="118" t="e">
        <f>STDEV(AH43:AI43)</f>
        <v>#DIV/0!</v>
      </c>
      <c r="AI45" s="141"/>
      <c r="AK45" s="141"/>
      <c r="AL45" s="118" t="e">
        <f>STDEV(AL43:AM43)</f>
        <v>#DIV/0!</v>
      </c>
      <c r="AM45" s="141"/>
      <c r="AO45" s="141"/>
    </row>
    <row r="46" spans="1:41" x14ac:dyDescent="0.3">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
      <c r="A47" s="118" t="s">
        <v>44</v>
      </c>
      <c r="B47" s="72">
        <f>-C36*SIN((C42)/180*PI())</f>
        <v>7.6702575812975065</v>
      </c>
      <c r="C47" s="72">
        <f>C36*COS((C42)/180*PI())</f>
        <v>10.36119936544986</v>
      </c>
      <c r="D47" s="72"/>
      <c r="E47" s="72"/>
      <c r="F47" s="72"/>
      <c r="G47" s="72"/>
      <c r="H47" s="72">
        <f>-I36*SIN((I42)/180*PI())</f>
        <v>0.31839676486312057</v>
      </c>
      <c r="I47" s="72">
        <f>I36*COS((I42)/180*PI())</f>
        <v>1.6334126918865137</v>
      </c>
      <c r="J47" s="72">
        <f>-K36*SIN((K42)/180*PI())</f>
        <v>0.42709169034770422</v>
      </c>
      <c r="K47" s="72">
        <f>K36*COS((K42)/180*PI())</f>
        <v>1.3587931135881461</v>
      </c>
      <c r="L47" s="72"/>
      <c r="M47" s="72"/>
      <c r="N47" s="314">
        <f>-O36*SIN((O42)/180*PI())</f>
        <v>2.0565877547843887</v>
      </c>
      <c r="O47" s="314">
        <f>O36*COS((O42)/180*PI())</f>
        <v>-0.23494638325485603</v>
      </c>
      <c r="P47" s="72"/>
      <c r="Q47" s="72"/>
      <c r="R47" s="314">
        <f>-S36*SIN((S42)/180*PI())</f>
        <v>1.7204136497688038</v>
      </c>
      <c r="S47" s="314">
        <f>S36*COS((S42)/180*PI())</f>
        <v>-0.17794945401691681</v>
      </c>
      <c r="T47" s="72"/>
      <c r="U47" s="72"/>
      <c r="V47" s="314">
        <f>-W36*SIN((W42)/180*PI())</f>
        <v>-0.28882507919282119</v>
      </c>
      <c r="W47" s="314">
        <f>W36*COS((W42)/180*PI())</f>
        <v>-1.8380280128423834</v>
      </c>
      <c r="X47" s="72"/>
      <c r="Y47" s="72"/>
      <c r="Z47" s="72">
        <f>-AA36*SIN((AA42)/180*PI())</f>
        <v>1.6009154966776897</v>
      </c>
      <c r="AA47" s="72">
        <f>AA36*COS((AA42)/180*PI())</f>
        <v>-0.10263539566513369</v>
      </c>
      <c r="AB47" s="72"/>
      <c r="AC47" s="72"/>
      <c r="AD47" s="72">
        <f>-AE36*SIN((AE42)/180*PI())</f>
        <v>-4.2163107245975651</v>
      </c>
      <c r="AE47" s="72">
        <f>AE36*COS((AE42)/180*PI())</f>
        <v>-5.550945734216703</v>
      </c>
      <c r="AF47" s="72"/>
      <c r="AG47" s="72"/>
      <c r="AH47" s="72">
        <f>-AI36*SIN((AI42)/180*PI())</f>
        <v>-3.9543521555957524</v>
      </c>
      <c r="AI47" s="72">
        <f>AI36*COS((AI42)/180*PI())</f>
        <v>-5.7728282756628673</v>
      </c>
      <c r="AJ47" s="72"/>
      <c r="AK47" s="72"/>
      <c r="AL47" s="72">
        <f>-AM36*SIN((AM42)/180*PI())</f>
        <v>-3.8915052554689389</v>
      </c>
      <c r="AM47" s="72">
        <f>AM36*COS((AM42)/180*PI())</f>
        <v>2.6634397309882165</v>
      </c>
      <c r="AN47" s="72"/>
      <c r="AO47" s="72"/>
    </row>
    <row r="48" spans="1:41" s="129" customFormat="1" x14ac:dyDescent="0.3">
      <c r="A48" s="118" t="s">
        <v>45</v>
      </c>
      <c r="B48" s="72">
        <f>B47-B18</f>
        <v>-0.47611863985907643</v>
      </c>
      <c r="C48" s="72">
        <f>C47-C18</f>
        <v>-5.8187874852452026E-2</v>
      </c>
      <c r="D48" s="72"/>
      <c r="E48" s="72"/>
      <c r="F48" s="72"/>
      <c r="G48" s="72"/>
      <c r="H48" s="72">
        <f>H47-H18</f>
        <v>1.8517124823583531E-2</v>
      </c>
      <c r="I48" s="72">
        <f>I47-I18</f>
        <v>0.1147368866239955</v>
      </c>
      <c r="J48" s="72">
        <f>J47-J18</f>
        <v>0.12721205030816718</v>
      </c>
      <c r="K48" s="72">
        <f>K47-K18</f>
        <v>-0.15988269167437208</v>
      </c>
      <c r="L48" s="72"/>
      <c r="M48" s="72"/>
      <c r="N48" s="314">
        <f>N47-N18</f>
        <v>9.505027057676263E-2</v>
      </c>
      <c r="O48" s="314">
        <f>O47-O18</f>
        <v>1.4792285489059245</v>
      </c>
      <c r="P48" s="72"/>
      <c r="Q48" s="72"/>
      <c r="R48" s="314">
        <f>R47-R18</f>
        <v>-0.24112383443882224</v>
      </c>
      <c r="S48" s="314">
        <f>S47-S18</f>
        <v>1.5362254781438636</v>
      </c>
      <c r="T48" s="72"/>
      <c r="U48" s="72"/>
      <c r="V48" s="314">
        <f>V47-V18</f>
        <v>-1.8240541044243175</v>
      </c>
      <c r="W48" s="314">
        <f>W47-W18</f>
        <v>-1.3838553143159871</v>
      </c>
      <c r="X48" s="72"/>
      <c r="Y48" s="72"/>
      <c r="Z48" s="72">
        <f>Z47-Z18</f>
        <v>6.5686471446193329E-2</v>
      </c>
      <c r="AA48" s="72">
        <f>AA47-AA18</f>
        <v>0.35153730286126272</v>
      </c>
      <c r="AB48" s="72"/>
      <c r="AC48" s="72"/>
      <c r="AD48" s="72">
        <f>AD47-AD18</f>
        <v>0.24029480788667534</v>
      </c>
      <c r="AE48" s="72">
        <f>AE47-AE18</f>
        <v>0.10020247900783197</v>
      </c>
      <c r="AF48" s="72"/>
      <c r="AG48" s="72"/>
      <c r="AH48" s="72">
        <f>AH47-AH18</f>
        <v>0.50225337688848803</v>
      </c>
      <c r="AI48" s="72">
        <f>AI47-AI18</f>
        <v>-0.12168006243833229</v>
      </c>
      <c r="AJ48" s="72"/>
      <c r="AK48" s="72"/>
      <c r="AL48" s="72">
        <f>AL47-AL18</f>
        <v>4.5632822513388405E-2</v>
      </c>
      <c r="AM48" s="72">
        <f>AM47-AM18</f>
        <v>4.5630006256179634E-2</v>
      </c>
      <c r="AN48" s="72"/>
      <c r="AO48" s="72"/>
    </row>
    <row r="49" spans="1:41" x14ac:dyDescent="0.3">
      <c r="A49" s="118" t="s">
        <v>46</v>
      </c>
      <c r="B49" s="118">
        <f>B48^2</f>
        <v>0.22668895922125692</v>
      </c>
      <c r="C49" s="118">
        <f>C48^2</f>
        <v>3.385828779844619E-3</v>
      </c>
      <c r="H49" s="118">
        <f>H48^2</f>
        <v>3.4288391173217342E-4</v>
      </c>
      <c r="I49" s="118">
        <f>I48^2</f>
        <v>1.3164553152167599E-2</v>
      </c>
      <c r="J49" s="118">
        <f>J48^2</f>
        <v>1.6182905743607659E-2</v>
      </c>
      <c r="K49" s="118">
        <f>K48^2</f>
        <v>2.5562475097042327E-2</v>
      </c>
      <c r="N49" s="311">
        <f>N48^2</f>
        <v>9.0345539367157873E-3</v>
      </c>
      <c r="O49" s="311">
        <f>O48^2</f>
        <v>2.188117099898327</v>
      </c>
      <c r="R49" s="311">
        <f>R48^2</f>
        <v>5.8140703534480559E-2</v>
      </c>
      <c r="S49" s="311">
        <f>S48^2</f>
        <v>2.3599887196983422</v>
      </c>
      <c r="V49" s="311">
        <f>V48^2</f>
        <v>3.3271733758671989</v>
      </c>
      <c r="W49" s="311">
        <f>W48^2</f>
        <v>1.9150555309605994</v>
      </c>
      <c r="Z49" s="118">
        <f>Z48^2</f>
        <v>4.3147125310515717E-3</v>
      </c>
      <c r="AA49" s="118">
        <f>AA48^2</f>
        <v>0.12357847530297116</v>
      </c>
      <c r="AD49" s="118">
        <f>AD48^2</f>
        <v>5.7741594697294209E-2</v>
      </c>
      <c r="AE49" s="118">
        <f>AE48^2</f>
        <v>1.0040536799315006E-2</v>
      </c>
      <c r="AH49" s="118">
        <f>AH48^2</f>
        <v>0.25225845459588958</v>
      </c>
      <c r="AI49" s="118">
        <f>AI48^2</f>
        <v>1.4806037594996446E-2</v>
      </c>
      <c r="AL49" s="118">
        <f>AL48^2</f>
        <v>2.0823544905384074E-3</v>
      </c>
      <c r="AM49" s="118">
        <f>AM48^2</f>
        <v>2.0820974709389924E-3</v>
      </c>
    </row>
    <row r="50" spans="1:41" s="129" customFormat="1" x14ac:dyDescent="0.3">
      <c r="A50" s="118" t="s">
        <v>47</v>
      </c>
      <c r="B50" s="72"/>
      <c r="C50" s="72">
        <f>SQRT(B49+C49)</f>
        <v>0.4796611178750072</v>
      </c>
      <c r="D50" s="72"/>
      <c r="E50" s="72"/>
      <c r="F50" s="72"/>
      <c r="G50" s="72"/>
      <c r="H50" s="72"/>
      <c r="I50" s="72">
        <f>SQRT(H49+I49)</f>
        <v>0.11622150000709754</v>
      </c>
      <c r="J50" s="72"/>
      <c r="K50" s="72">
        <f>SQRT(J49+K49)</f>
        <v>0.2043168638185551</v>
      </c>
      <c r="L50" s="72"/>
      <c r="M50" s="72"/>
      <c r="N50" s="314"/>
      <c r="O50" s="314">
        <f>SQRT(N49+O49)</f>
        <v>1.4822792091353918</v>
      </c>
      <c r="P50" s="72"/>
      <c r="Q50" s="72"/>
      <c r="R50" s="314"/>
      <c r="S50" s="314">
        <f>SQRT(R49+S49)</f>
        <v>1.5550335762396974</v>
      </c>
      <c r="T50" s="72"/>
      <c r="U50" s="72"/>
      <c r="V50" s="314"/>
      <c r="W50" s="314">
        <f>SQRT(V49+W49)</f>
        <v>2.2895914279250347</v>
      </c>
      <c r="X50" s="72"/>
      <c r="Y50" s="72"/>
      <c r="Z50" s="72"/>
      <c r="AA50" s="72">
        <f>SQRT(Z49+AA49)</f>
        <v>0.35762157070571504</v>
      </c>
      <c r="AB50" s="72"/>
      <c r="AC50" s="72"/>
      <c r="AD50" s="72"/>
      <c r="AE50" s="72">
        <f>SQRT(AD49+AE49)</f>
        <v>0.26035001727791229</v>
      </c>
      <c r="AF50" s="72"/>
      <c r="AG50" s="72"/>
      <c r="AH50" s="72"/>
      <c r="AI50" s="72">
        <f>SQRT(AH49+AI49)</f>
        <v>0.5167828288467855</v>
      </c>
      <c r="AJ50" s="72"/>
      <c r="AK50" s="72"/>
      <c r="AL50" s="72"/>
      <c r="AM50" s="72">
        <f>SQRT(AL49+AM49)</f>
        <v>6.4532565123954277E-2</v>
      </c>
      <c r="AN50" s="72"/>
      <c r="AO50" s="72"/>
    </row>
    <row r="51" spans="1:41" s="129" customFormat="1" x14ac:dyDescent="0.3">
      <c r="A51" s="118" t="s">
        <v>48</v>
      </c>
      <c r="B51" s="72"/>
      <c r="C51" s="77">
        <f>C50/C36</f>
        <v>3.7207937284090928E-2</v>
      </c>
      <c r="D51" s="72"/>
      <c r="E51" s="77"/>
      <c r="F51" s="72"/>
      <c r="G51" s="77"/>
      <c r="H51" s="72"/>
      <c r="I51" s="77">
        <f>I50/I36</f>
        <v>6.9838125186654734E-2</v>
      </c>
      <c r="J51" s="72"/>
      <c r="K51" s="77">
        <f>K50/K36</f>
        <v>0.14344734422284905</v>
      </c>
      <c r="L51" s="72"/>
      <c r="M51" s="77"/>
      <c r="N51" s="314"/>
      <c r="O51" s="320">
        <f>O50/O36</f>
        <v>0.71608919631775869</v>
      </c>
      <c r="P51" s="72"/>
      <c r="Q51" s="77"/>
      <c r="R51" s="314"/>
      <c r="S51" s="320">
        <f>S50/S36</f>
        <v>0.89907527775915341</v>
      </c>
      <c r="T51" s="72"/>
      <c r="U51" s="77"/>
      <c r="V51" s="314"/>
      <c r="W51" s="320">
        <f>W50/W36</f>
        <v>1.230577810632306</v>
      </c>
      <c r="X51" s="72"/>
      <c r="Y51" s="77"/>
      <c r="Z51" s="72"/>
      <c r="AA51" s="77">
        <f>AA50/AA36</f>
        <v>0.22292799987174045</v>
      </c>
      <c r="AB51" s="72"/>
      <c r="AC51" s="77"/>
      <c r="AD51" s="72"/>
      <c r="AE51" s="77">
        <f>AE50/AE36</f>
        <v>3.7349340172616201E-2</v>
      </c>
      <c r="AF51" s="72"/>
      <c r="AG51" s="77"/>
      <c r="AH51" s="72"/>
      <c r="AI51" s="77">
        <f>AI50/AI36</f>
        <v>7.385442419011784E-2</v>
      </c>
      <c r="AJ51" s="72"/>
      <c r="AK51" s="77"/>
      <c r="AL51" s="72"/>
      <c r="AM51" s="77">
        <f>AM50/AM36</f>
        <v>1.3684651975355438E-2</v>
      </c>
      <c r="AN51" s="72"/>
      <c r="AO51" s="77"/>
    </row>
    <row r="52" spans="1:41" s="129" customFormat="1" x14ac:dyDescent="0.3">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0.4796611178750072</v>
      </c>
      <c r="C53" s="144"/>
      <c r="D53" s="72"/>
      <c r="E53" s="144"/>
      <c r="F53" s="72"/>
      <c r="G53" s="144"/>
      <c r="H53" s="72">
        <f>MEDIAN(H50:I50)</f>
        <v>0.11622150000709754</v>
      </c>
      <c r="I53" s="144"/>
      <c r="J53" s="72">
        <f>MEDIAN(J50:K50)</f>
        <v>0.2043168638185551</v>
      </c>
      <c r="K53" s="144"/>
      <c r="L53" s="72"/>
      <c r="M53" s="144"/>
      <c r="N53" s="314">
        <f>MEDIAN(N50:O50)</f>
        <v>1.4822792091353918</v>
      </c>
      <c r="O53" s="320"/>
      <c r="P53" s="72"/>
      <c r="Q53" s="144"/>
      <c r="R53" s="314">
        <f>MEDIAN(R50:S50)</f>
        <v>1.5550335762396974</v>
      </c>
      <c r="S53" s="320"/>
      <c r="T53" s="72"/>
      <c r="U53" s="144"/>
      <c r="V53" s="314">
        <f>MEDIAN(V50:W50)</f>
        <v>2.2895914279250347</v>
      </c>
      <c r="W53" s="320"/>
      <c r="X53" s="72"/>
      <c r="Y53" s="144"/>
      <c r="Z53" s="72">
        <f>MEDIAN(Z50:AA50)</f>
        <v>0.35762157070571504</v>
      </c>
      <c r="AA53" s="144"/>
      <c r="AB53" s="72"/>
      <c r="AC53" s="144"/>
      <c r="AD53" s="72">
        <f>MEDIAN(AD50:AE50)</f>
        <v>0.26035001727791229</v>
      </c>
      <c r="AE53" s="144"/>
      <c r="AF53" s="72"/>
      <c r="AG53" s="144"/>
      <c r="AH53" s="72">
        <f>MEDIAN(AH50:AI50)</f>
        <v>0.5167828288467855</v>
      </c>
      <c r="AI53" s="144"/>
      <c r="AJ53" s="72"/>
      <c r="AK53" s="144"/>
      <c r="AL53" s="72">
        <f>MEDIAN(AL50:AM50)</f>
        <v>6.4532565123954277E-2</v>
      </c>
      <c r="AM53" s="144"/>
      <c r="AN53" s="72"/>
      <c r="AO53" s="144"/>
    </row>
    <row r="54" spans="1:41" s="129" customFormat="1" x14ac:dyDescent="0.3">
      <c r="A54" s="118" t="s">
        <v>81</v>
      </c>
      <c r="B54" s="72">
        <f>AVERAGE(B50:C50)</f>
        <v>0.4796611178750072</v>
      </c>
      <c r="C54" s="144"/>
      <c r="D54" s="72"/>
      <c r="E54" s="144"/>
      <c r="F54" s="72"/>
      <c r="G54" s="144"/>
      <c r="H54" s="72">
        <f>AVERAGE(H50:I50)</f>
        <v>0.11622150000709754</v>
      </c>
      <c r="I54" s="144"/>
      <c r="J54" s="72">
        <f>AVERAGE(J50:K50)</f>
        <v>0.2043168638185551</v>
      </c>
      <c r="K54" s="144"/>
      <c r="L54" s="72"/>
      <c r="M54" s="144"/>
      <c r="N54" s="314">
        <f>AVERAGE(N50:O50)</f>
        <v>1.4822792091353918</v>
      </c>
      <c r="O54" s="320"/>
      <c r="P54" s="72"/>
      <c r="Q54" s="144"/>
      <c r="R54" s="314">
        <f>AVERAGE(R50:S50)</f>
        <v>1.5550335762396974</v>
      </c>
      <c r="S54" s="320"/>
      <c r="T54" s="72"/>
      <c r="U54" s="144"/>
      <c r="V54" s="314">
        <f>AVERAGE(V50:W50)</f>
        <v>2.2895914279250347</v>
      </c>
      <c r="W54" s="320"/>
      <c r="X54" s="72"/>
      <c r="Y54" s="144"/>
      <c r="Z54" s="72">
        <f>AVERAGE(Z50:AA50)</f>
        <v>0.35762157070571504</v>
      </c>
      <c r="AA54" s="144"/>
      <c r="AB54" s="72"/>
      <c r="AC54" s="144"/>
      <c r="AD54" s="72">
        <f>AVERAGE(AD50:AE50)</f>
        <v>0.26035001727791229</v>
      </c>
      <c r="AE54" s="144"/>
      <c r="AF54" s="72"/>
      <c r="AG54" s="144"/>
      <c r="AH54" s="72">
        <f>AVERAGE(AH50:AI50)</f>
        <v>0.5167828288467855</v>
      </c>
      <c r="AI54" s="144"/>
      <c r="AJ54" s="72"/>
      <c r="AK54" s="144"/>
      <c r="AL54" s="72">
        <f>AVERAGE(AL50:AM50)</f>
        <v>6.4532565123954277E-2</v>
      </c>
      <c r="AM54" s="144"/>
      <c r="AN54" s="72"/>
      <c r="AO54" s="144"/>
    </row>
    <row r="55" spans="1:41" s="129" customFormat="1" x14ac:dyDescent="0.3">
      <c r="A55" s="118" t="s">
        <v>82</v>
      </c>
      <c r="B55" s="72" t="e">
        <f>STDEV(B50:C50)</f>
        <v>#DIV/0!</v>
      </c>
      <c r="C55" s="144"/>
      <c r="D55" s="72"/>
      <c r="E55" s="144"/>
      <c r="F55" s="72"/>
      <c r="G55" s="144"/>
      <c r="H55" s="72" t="e">
        <f>STDEV(H50:I50)</f>
        <v>#DIV/0!</v>
      </c>
      <c r="I55" s="144"/>
      <c r="J55" s="72" t="e">
        <f>STDEV(J50:K50)</f>
        <v>#DIV/0!</v>
      </c>
      <c r="K55" s="144"/>
      <c r="L55" s="72"/>
      <c r="M55" s="144"/>
      <c r="N55" s="314" t="e">
        <f>STDEV(N50:O50)</f>
        <v>#DIV/0!</v>
      </c>
      <c r="O55" s="320"/>
      <c r="P55" s="72"/>
      <c r="Q55" s="144"/>
      <c r="R55" s="314" t="e">
        <f>STDEV(R50:S50)</f>
        <v>#DIV/0!</v>
      </c>
      <c r="S55" s="320"/>
      <c r="T55" s="72"/>
      <c r="U55" s="144"/>
      <c r="V55" s="314" t="e">
        <f>STDEV(V50:W50)</f>
        <v>#DIV/0!</v>
      </c>
      <c r="W55" s="320"/>
      <c r="X55" s="72"/>
      <c r="Y55" s="144"/>
      <c r="Z55" s="72" t="e">
        <f>STDEV(Z50:AA50)</f>
        <v>#DIV/0!</v>
      </c>
      <c r="AA55" s="144"/>
      <c r="AB55" s="72"/>
      <c r="AC55" s="144"/>
      <c r="AD55" s="72" t="e">
        <f>STDEV(AD50:AE50)</f>
        <v>#DIV/0!</v>
      </c>
      <c r="AE55" s="144"/>
      <c r="AF55" s="72"/>
      <c r="AG55" s="144"/>
      <c r="AH55" s="72" t="e">
        <f>STDEV(AH50:AI50)</f>
        <v>#DIV/0!</v>
      </c>
      <c r="AI55" s="144"/>
      <c r="AJ55" s="72"/>
      <c r="AK55" s="144"/>
      <c r="AL55" s="72" t="e">
        <f>STDEV(AL50:AM50)</f>
        <v>#DIV/0!</v>
      </c>
      <c r="AM55" s="144"/>
      <c r="AN55" s="72"/>
      <c r="AO55" s="144"/>
    </row>
    <row r="56" spans="1:41" s="129" customFormat="1" x14ac:dyDescent="0.3">
      <c r="A56" s="118" t="s">
        <v>83</v>
      </c>
      <c r="B56" s="72"/>
      <c r="C56" s="144"/>
      <c r="D56" s="144"/>
      <c r="E56" s="144"/>
      <c r="F56" s="144"/>
      <c r="G56" s="144"/>
      <c r="H56" s="72"/>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12.891365468950543</v>
      </c>
      <c r="C59" s="141">
        <f>AVERAGE(C37:I37)</f>
        <v>-0.10923951646950281</v>
      </c>
      <c r="D59" s="302">
        <f>AVERAGE(C38:I38)</f>
        <v>2.4867293240241967E-2</v>
      </c>
      <c r="F59" s="302">
        <f>AVERAGE(E38:K38)</f>
        <v>-2.4260207912290208E-3</v>
      </c>
      <c r="H59" s="166">
        <f>AVERAGE(I36,K36)</f>
        <v>1.5442445198151775</v>
      </c>
      <c r="I59" s="308">
        <f>AVERAGE(I37:O37)</f>
        <v>-0.18084882295149374</v>
      </c>
      <c r="J59" s="166"/>
      <c r="K59" s="141"/>
      <c r="L59" s="302"/>
      <c r="N59" s="321"/>
      <c r="O59" s="318"/>
      <c r="P59" s="302"/>
      <c r="R59" s="321"/>
      <c r="S59" s="318"/>
      <c r="T59" s="302"/>
      <c r="V59" s="321"/>
      <c r="W59" s="318"/>
      <c r="X59" s="302"/>
      <c r="Z59" s="166"/>
      <c r="AA59" s="141"/>
      <c r="AB59" s="302"/>
      <c r="AD59" s="166">
        <f>AVERAGE(AE36,AI36)</f>
        <v>6.9839948085559165</v>
      </c>
      <c r="AE59" s="326">
        <f>AVERAGE(AE37:AK37)</f>
        <v>-0.21300519144408403</v>
      </c>
      <c r="AF59" s="302"/>
      <c r="AH59" s="166"/>
      <c r="AI59" s="141"/>
      <c r="AJ59" s="302"/>
      <c r="AL59" s="166"/>
      <c r="AM59" s="141"/>
      <c r="AN59" s="302"/>
    </row>
    <row r="60" spans="1:41" x14ac:dyDescent="0.3">
      <c r="A60" s="129" t="s">
        <v>116</v>
      </c>
      <c r="B60" s="166" t="e">
        <f>STDEV(C36,G36)</f>
        <v>#DIV/0!</v>
      </c>
      <c r="C60" s="118">
        <f>STDEV(C37:I37)</f>
        <v>0.31875668651025424</v>
      </c>
      <c r="D60" s="118">
        <f>STDEV(C38:I38)</f>
        <v>7.0949055485105023E-2</v>
      </c>
      <c r="F60" s="118">
        <f>STDEV(E38:K38)</f>
        <v>0.10954763035051918</v>
      </c>
      <c r="H60" s="166">
        <f>STDEV(I36,K36)</f>
        <v>0.16957973178260372</v>
      </c>
      <c r="I60" s="118">
        <f>STDEV(I37:O37)</f>
        <v>0.32933994424082691</v>
      </c>
      <c r="J60" s="166"/>
      <c r="N60" s="321"/>
      <c r="R60" s="321"/>
      <c r="V60" s="321"/>
      <c r="Z60" s="166"/>
      <c r="AD60" s="166">
        <f>STDEV(AE36,AI36)</f>
        <v>1.8840633231745292E-2</v>
      </c>
      <c r="AE60" s="118">
        <f>STDEV(AE37:AK37)</f>
        <v>1.8840633231745292E-2</v>
      </c>
      <c r="AH60" s="166"/>
      <c r="AL60" s="166"/>
    </row>
    <row r="61" spans="1:41" x14ac:dyDescent="0.3">
      <c r="A61" s="129" t="s">
        <v>117</v>
      </c>
      <c r="B61" s="166">
        <f>AVERAGE(C42,G42)</f>
        <v>323.48794783243403</v>
      </c>
      <c r="H61" s="167">
        <f>AVERAGE(I42,K42)</f>
        <v>345.76049299681978</v>
      </c>
      <c r="J61" s="166"/>
      <c r="N61" s="321"/>
      <c r="R61" s="321"/>
      <c r="V61" s="321"/>
      <c r="Z61" s="166"/>
      <c r="AD61" s="167">
        <f>AVERAGE(AE42,AI42)</f>
        <v>144.18500945402405</v>
      </c>
      <c r="AH61" s="166"/>
      <c r="AL61" s="166"/>
    </row>
    <row r="62" spans="1:41" x14ac:dyDescent="0.3">
      <c r="A62" s="129" t="s">
        <v>118</v>
      </c>
      <c r="B62" s="166" t="e">
        <f>STDEV(C42,G42)</f>
        <v>#DIV/0!</v>
      </c>
      <c r="H62" s="166">
        <f>STDEV(I42,K42)</f>
        <v>4.5386490929008456</v>
      </c>
      <c r="J62" s="166"/>
      <c r="N62" s="321"/>
      <c r="R62" s="321"/>
      <c r="V62" s="321"/>
      <c r="Z62" s="166"/>
      <c r="AD62" s="166">
        <f>STDEV(AE42,AI42)</f>
        <v>1.9856761052187517</v>
      </c>
      <c r="AH62" s="166"/>
      <c r="AL62" s="166"/>
    </row>
  </sheetData>
  <mergeCells count="37">
    <mergeCell ref="L10:M10"/>
    <mergeCell ref="B10:C10"/>
    <mergeCell ref="D10:E10"/>
    <mergeCell ref="F10:G10"/>
    <mergeCell ref="H10:I10"/>
    <mergeCell ref="J10:K10"/>
    <mergeCell ref="N10:O10"/>
    <mergeCell ref="R10:S10"/>
    <mergeCell ref="T10:U10"/>
    <mergeCell ref="V10:W10"/>
    <mergeCell ref="X10:Y10"/>
    <mergeCell ref="P10:Q10"/>
    <mergeCell ref="B19:C19"/>
    <mergeCell ref="J19:K19"/>
    <mergeCell ref="N19:O19"/>
    <mergeCell ref="H19:I19"/>
    <mergeCell ref="R19:S19"/>
    <mergeCell ref="B34:C34"/>
    <mergeCell ref="J34:K34"/>
    <mergeCell ref="N34:O34"/>
    <mergeCell ref="H34:I34"/>
    <mergeCell ref="R34:S34"/>
    <mergeCell ref="V19:W19"/>
    <mergeCell ref="V34:W34"/>
    <mergeCell ref="Z19:AA19"/>
    <mergeCell ref="Z34:AA34"/>
    <mergeCell ref="AB10:AC10"/>
    <mergeCell ref="Z10:AA10"/>
    <mergeCell ref="AL19:AM19"/>
    <mergeCell ref="AL34:AM34"/>
    <mergeCell ref="AL10:AM10"/>
    <mergeCell ref="AD10:AE10"/>
    <mergeCell ref="AH10:AI10"/>
    <mergeCell ref="AD19:AE19"/>
    <mergeCell ref="AD34:AE34"/>
    <mergeCell ref="AH19:AI19"/>
    <mergeCell ref="AH34:AI34"/>
  </mergeCells>
  <pageMargins left="0.7" right="0.7" top="0.75" bottom="0.75" header="0.3" footer="0.3"/>
  <pageSetup scale="23"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09375" defaultRowHeight="14.4" x14ac:dyDescent="0.3"/>
  <cols>
    <col min="1" max="1" width="28" style="118" customWidth="1"/>
    <col min="2" max="13" width="11.6640625" style="118" customWidth="1"/>
    <col min="14" max="15" width="11.6640625" style="311" customWidth="1"/>
    <col min="16"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422</v>
      </c>
      <c r="E2" s="116" t="s">
        <v>423</v>
      </c>
      <c r="F2" s="116"/>
      <c r="G2" s="116" t="s">
        <v>424</v>
      </c>
      <c r="I2" s="116" t="s">
        <v>425</v>
      </c>
      <c r="J2" s="116"/>
      <c r="K2" s="116"/>
      <c r="M2" s="116"/>
      <c r="N2" s="310"/>
      <c r="O2" s="310"/>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61"/>
      <c r="I3" s="61"/>
      <c r="J3" s="116"/>
      <c r="K3" s="116"/>
      <c r="L3" s="61"/>
      <c r="M3" s="61"/>
      <c r="N3" s="310"/>
      <c r="O3" s="310"/>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755.63599999999997</v>
      </c>
      <c r="C4" s="217">
        <v>457.05200000000002</v>
      </c>
      <c r="D4" s="63">
        <v>970</v>
      </c>
      <c r="E4" s="63">
        <v>751</v>
      </c>
      <c r="F4" s="217">
        <v>465.36799999999999</v>
      </c>
      <c r="G4" s="217">
        <v>567.62199999999996</v>
      </c>
      <c r="H4" s="63">
        <v>492</v>
      </c>
      <c r="I4" s="63">
        <v>682</v>
      </c>
      <c r="L4" s="63"/>
      <c r="M4" s="63"/>
      <c r="P4" s="63"/>
      <c r="Q4" s="63"/>
      <c r="T4" s="63"/>
      <c r="U4" s="63"/>
      <c r="X4" s="63"/>
      <c r="Y4" s="63"/>
      <c r="AB4" s="63"/>
      <c r="AC4" s="63"/>
      <c r="AF4" s="63"/>
      <c r="AG4" s="63"/>
      <c r="AJ4" s="63"/>
      <c r="AK4" s="63"/>
      <c r="AL4" s="217"/>
      <c r="AM4" s="217"/>
      <c r="AN4" s="63"/>
      <c r="AO4" s="63"/>
      <c r="AQ4" s="217"/>
      <c r="AR4" s="217"/>
    </row>
    <row r="5" spans="1:44" x14ac:dyDescent="0.3">
      <c r="A5" s="118" t="s">
        <v>2</v>
      </c>
      <c r="B5" s="217">
        <v>767.78099999999995</v>
      </c>
      <c r="C5" s="217">
        <v>451.202</v>
      </c>
      <c r="D5" s="63">
        <v>923</v>
      </c>
      <c r="E5" s="63">
        <v>214</v>
      </c>
      <c r="F5" s="217">
        <v>450.88799999999998</v>
      </c>
      <c r="G5" s="217">
        <v>573.80600000000004</v>
      </c>
      <c r="H5" s="63">
        <v>431</v>
      </c>
      <c r="I5" s="63">
        <v>65</v>
      </c>
      <c r="L5" s="63"/>
      <c r="M5" s="63"/>
      <c r="P5" s="63"/>
      <c r="Q5" s="63"/>
      <c r="T5" s="63"/>
      <c r="U5" s="63"/>
      <c r="X5" s="63"/>
      <c r="Y5" s="63"/>
      <c r="AB5" s="63"/>
      <c r="AC5" s="63"/>
      <c r="AF5" s="63"/>
      <c r="AG5" s="63"/>
      <c r="AJ5" s="63"/>
      <c r="AK5" s="63"/>
      <c r="AL5" s="217"/>
      <c r="AM5" s="217"/>
      <c r="AN5" s="63"/>
      <c r="AO5" s="63"/>
      <c r="AQ5" s="217"/>
      <c r="AR5" s="217"/>
    </row>
    <row r="6" spans="1:44" x14ac:dyDescent="0.3">
      <c r="A6" s="118" t="s">
        <v>4</v>
      </c>
      <c r="B6" s="118">
        <f t="shared" ref="B6:I6" si="0">B5-B4</f>
        <v>12.144999999999982</v>
      </c>
      <c r="C6" s="118">
        <f t="shared" si="0"/>
        <v>-5.8500000000000227</v>
      </c>
      <c r="D6" s="63">
        <f t="shared" si="0"/>
        <v>-47</v>
      </c>
      <c r="E6" s="63">
        <f t="shared" si="0"/>
        <v>-537</v>
      </c>
      <c r="F6" s="118">
        <f t="shared" si="0"/>
        <v>-14.480000000000018</v>
      </c>
      <c r="G6" s="118">
        <f t="shared" si="0"/>
        <v>6.1840000000000828</v>
      </c>
      <c r="H6" s="63">
        <f t="shared" si="0"/>
        <v>-61</v>
      </c>
      <c r="I6" s="63">
        <f t="shared" si="0"/>
        <v>-617</v>
      </c>
      <c r="L6" s="63"/>
      <c r="M6" s="63"/>
      <c r="P6" s="63"/>
      <c r="Q6" s="63"/>
      <c r="T6" s="63"/>
      <c r="U6" s="63"/>
      <c r="X6" s="63"/>
      <c r="Y6" s="63"/>
      <c r="AB6" s="63"/>
      <c r="AC6" s="63"/>
      <c r="AF6" s="63"/>
      <c r="AG6" s="63"/>
      <c r="AJ6" s="63"/>
      <c r="AK6" s="63"/>
      <c r="AN6" s="63"/>
      <c r="AO6" s="63"/>
    </row>
    <row r="7" spans="1:44" x14ac:dyDescent="0.3">
      <c r="A7" s="118" t="s">
        <v>5</v>
      </c>
      <c r="B7" s="118">
        <f t="shared" ref="B7:I7" si="1">B6^2</f>
        <v>147.50102499999957</v>
      </c>
      <c r="C7" s="118">
        <f t="shared" si="1"/>
        <v>34.222500000000267</v>
      </c>
      <c r="D7" s="63">
        <f t="shared" si="1"/>
        <v>2209</v>
      </c>
      <c r="E7" s="63">
        <f t="shared" si="1"/>
        <v>288369</v>
      </c>
      <c r="F7" s="118">
        <f t="shared" si="1"/>
        <v>209.67040000000054</v>
      </c>
      <c r="G7" s="118">
        <f t="shared" si="1"/>
        <v>38.241856000001022</v>
      </c>
      <c r="H7" s="63">
        <f t="shared" si="1"/>
        <v>3721</v>
      </c>
      <c r="I7" s="63">
        <f t="shared" si="1"/>
        <v>380689</v>
      </c>
      <c r="L7" s="63"/>
      <c r="M7" s="63"/>
      <c r="P7" s="63"/>
      <c r="Q7" s="63"/>
      <c r="T7" s="63"/>
      <c r="U7" s="63"/>
      <c r="X7" s="63"/>
      <c r="Y7" s="63"/>
      <c r="AB7" s="63"/>
      <c r="AC7" s="63"/>
      <c r="AF7" s="63"/>
      <c r="AG7" s="63"/>
      <c r="AJ7" s="63"/>
      <c r="AK7" s="63"/>
      <c r="AN7" s="63"/>
      <c r="AO7" s="63"/>
    </row>
    <row r="8" spans="1:44" x14ac:dyDescent="0.3">
      <c r="A8" s="118" t="s">
        <v>6</v>
      </c>
      <c r="C8" s="118">
        <f>SQRT(SUM(B7:C7))</f>
        <v>13.480486823553511</v>
      </c>
      <c r="D8" s="63"/>
      <c r="E8" s="63">
        <f>SQRT(SUM(D7:E7))</f>
        <v>539.05287310244432</v>
      </c>
      <c r="G8" s="118">
        <f>SQRT(SUM(F7:G7))</f>
        <v>15.745229626779075</v>
      </c>
      <c r="H8" s="63"/>
      <c r="I8" s="63">
        <f>SQRT(SUM(H7:I7))</f>
        <v>620.00806446368097</v>
      </c>
      <c r="L8" s="63"/>
      <c r="M8" s="63"/>
      <c r="P8" s="63"/>
      <c r="Q8" s="63"/>
      <c r="T8" s="63"/>
      <c r="U8" s="63"/>
      <c r="X8" s="63"/>
      <c r="Y8" s="63"/>
      <c r="AB8" s="63"/>
      <c r="AC8" s="63"/>
      <c r="AF8" s="63"/>
      <c r="AG8" s="63"/>
      <c r="AJ8" s="63"/>
      <c r="AK8" s="63"/>
      <c r="AN8" s="63"/>
      <c r="AO8" s="63"/>
    </row>
    <row r="9" spans="1:44" x14ac:dyDescent="0.3">
      <c r="A9" s="118" t="s">
        <v>7</v>
      </c>
      <c r="C9" s="118">
        <f>MOD(ATAN2(C6,B6)*180/PI()+270,360)</f>
        <v>25.719172959790285</v>
      </c>
      <c r="D9" s="63"/>
      <c r="E9" s="63">
        <f>MOD(ATAN2(E6,D6)*180/PI()+270,360)</f>
        <v>95.00196816196285</v>
      </c>
      <c r="G9" s="118">
        <f>MOD(ATAN2(G6,F6)*180/PI()+270,360)</f>
        <v>203.12596263802737</v>
      </c>
      <c r="H9" s="63"/>
      <c r="I9" s="63">
        <f>MOD(ATAN2(I6,H6)*180/PI()+270,360)</f>
        <v>95.646226215999661</v>
      </c>
      <c r="L9" s="63"/>
      <c r="M9" s="63"/>
      <c r="P9" s="63"/>
      <c r="Q9" s="63"/>
      <c r="T9" s="63"/>
      <c r="U9" s="63"/>
      <c r="X9" s="63"/>
      <c r="Y9" s="63"/>
      <c r="AB9" s="63"/>
      <c r="AC9" s="63"/>
      <c r="AF9" s="63"/>
      <c r="AG9" s="63"/>
      <c r="AJ9" s="63"/>
      <c r="AK9" s="63"/>
      <c r="AN9" s="63"/>
      <c r="AO9" s="63"/>
    </row>
    <row r="10" spans="1:44" s="325" customFormat="1" ht="117" customHeight="1" x14ac:dyDescent="0.3">
      <c r="A10" s="250" t="s">
        <v>40</v>
      </c>
      <c r="B10" s="430" t="s">
        <v>421</v>
      </c>
      <c r="C10" s="430"/>
      <c r="D10" s="430"/>
      <c r="E10" s="430"/>
      <c r="F10" s="430" t="s">
        <v>421</v>
      </c>
      <c r="G10" s="430"/>
      <c r="H10" s="430"/>
      <c r="I10" s="430"/>
      <c r="J10" s="430"/>
      <c r="K10" s="430"/>
      <c r="L10" s="430"/>
      <c r="M10" s="430"/>
      <c r="N10" s="434"/>
      <c r="O10" s="434"/>
      <c r="P10" s="430"/>
      <c r="Q10" s="430"/>
      <c r="R10" s="434"/>
      <c r="S10" s="434"/>
      <c r="T10" s="430"/>
      <c r="U10" s="430"/>
      <c r="V10" s="434"/>
      <c r="W10" s="434"/>
      <c r="X10" s="430"/>
      <c r="Y10" s="430"/>
      <c r="Z10" s="430"/>
      <c r="AA10" s="430"/>
      <c r="AB10" s="430"/>
      <c r="AC10" s="430"/>
      <c r="AD10" s="430"/>
      <c r="AE10" s="430"/>
      <c r="AH10" s="430"/>
      <c r="AI10" s="430"/>
      <c r="AL10" s="430"/>
      <c r="AM10" s="430"/>
    </row>
    <row r="11" spans="1:44" s="127" customFormat="1" x14ac:dyDescent="0.3">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4" customFormat="1" x14ac:dyDescent="0.3">
      <c r="B12" s="324" t="s">
        <v>62</v>
      </c>
      <c r="C12" s="324" t="s">
        <v>63</v>
      </c>
      <c r="D12" s="69"/>
      <c r="E12" s="69"/>
      <c r="F12" s="324" t="s">
        <v>62</v>
      </c>
      <c r="G12" s="324" t="s">
        <v>63</v>
      </c>
      <c r="H12" s="69"/>
      <c r="I12" s="69"/>
      <c r="L12" s="69"/>
      <c r="M12" s="69"/>
      <c r="N12" s="312"/>
      <c r="O12" s="312"/>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H13" s="63"/>
      <c r="I13" s="63"/>
      <c r="L13" s="63"/>
      <c r="M13" s="63"/>
      <c r="P13" s="63"/>
      <c r="Q13" s="63"/>
      <c r="T13" s="63"/>
      <c r="U13" s="63"/>
      <c r="X13" s="63"/>
      <c r="Y13" s="63"/>
      <c r="AB13" s="63"/>
      <c r="AC13" s="63"/>
      <c r="AF13" s="63"/>
      <c r="AG13" s="63"/>
      <c r="AJ13" s="63"/>
      <c r="AK13" s="63"/>
      <c r="AN13" s="63"/>
      <c r="AO13" s="63"/>
    </row>
    <row r="14" spans="1:44" x14ac:dyDescent="0.3">
      <c r="A14" s="118" t="s">
        <v>17</v>
      </c>
      <c r="D14" s="63"/>
      <c r="E14" s="63"/>
      <c r="H14" s="63"/>
      <c r="I14" s="63"/>
      <c r="L14" s="63"/>
      <c r="M14" s="63"/>
      <c r="P14" s="63"/>
      <c r="Q14" s="63"/>
      <c r="T14" s="63"/>
      <c r="U14" s="63"/>
      <c r="X14" s="63"/>
      <c r="Y14" s="63"/>
      <c r="AB14" s="63"/>
      <c r="AC14" s="63"/>
      <c r="AF14" s="63"/>
      <c r="AG14" s="63"/>
      <c r="AJ14" s="63"/>
      <c r="AK14" s="63"/>
      <c r="AN14" s="63"/>
      <c r="AO14" s="63"/>
    </row>
    <row r="15" spans="1:44" x14ac:dyDescent="0.3">
      <c r="A15" s="118" t="s">
        <v>14</v>
      </c>
      <c r="D15" s="63"/>
      <c r="E15" s="63"/>
      <c r="H15" s="63"/>
      <c r="I15" s="63"/>
      <c r="L15" s="63"/>
      <c r="M15" s="63"/>
      <c r="P15" s="63"/>
      <c r="Q15" s="63"/>
      <c r="T15" s="63"/>
      <c r="U15" s="63"/>
      <c r="X15" s="63"/>
      <c r="Y15" s="63"/>
      <c r="AB15" s="63"/>
      <c r="AC15" s="63"/>
      <c r="AF15" s="63"/>
      <c r="AG15" s="63"/>
      <c r="AJ15" s="63"/>
      <c r="AK15" s="63"/>
      <c r="AN15" s="63"/>
      <c r="AO15" s="63"/>
    </row>
    <row r="16" spans="1:44" x14ac:dyDescent="0.3">
      <c r="A16" s="118" t="s">
        <v>13</v>
      </c>
      <c r="C16" s="147">
        <v>1.651</v>
      </c>
      <c r="D16" s="63"/>
      <c r="E16" s="111">
        <f>5*15.0412*COS((31+27/60+56/3600)*PI()/180)</f>
        <v>64.147267562443872</v>
      </c>
      <c r="G16" s="147">
        <v>1.6739999999999999</v>
      </c>
      <c r="H16" s="63"/>
      <c r="I16" s="111">
        <f>5*15.0412*COS((1+30/60+50/3600)*PI()/180)</f>
        <v>75.179749355763676</v>
      </c>
      <c r="K16" s="147"/>
      <c r="L16" s="63"/>
      <c r="M16" s="111"/>
      <c r="O16" s="313"/>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18">
        <v>198.35</v>
      </c>
      <c r="D17" s="63"/>
      <c r="E17" s="63">
        <v>-90</v>
      </c>
      <c r="G17" s="118">
        <v>16.63</v>
      </c>
      <c r="H17" s="63"/>
      <c r="I17" s="63">
        <v>-90</v>
      </c>
      <c r="L17" s="63"/>
      <c r="M17" s="63"/>
      <c r="P17" s="63"/>
      <c r="Q17" s="63"/>
      <c r="T17" s="63"/>
      <c r="U17" s="63"/>
      <c r="X17" s="63"/>
      <c r="Y17" s="63"/>
      <c r="AB17" s="63"/>
      <c r="AC17" s="63"/>
      <c r="AF17" s="63"/>
      <c r="AG17" s="63"/>
      <c r="AJ17" s="63"/>
      <c r="AK17" s="63"/>
      <c r="AN17" s="63"/>
      <c r="AO17" s="63"/>
    </row>
    <row r="18" spans="1:41" x14ac:dyDescent="0.3">
      <c r="A18" s="118" t="s">
        <v>32</v>
      </c>
      <c r="B18" s="72">
        <f>-C16*SIN((C17)/180*PI())</f>
        <v>0.51976925031437238</v>
      </c>
      <c r="C18" s="72">
        <f>C16*COS((C17)/180*PI())</f>
        <v>-1.5670484760937153</v>
      </c>
      <c r="D18" s="72">
        <f>-E16*SIN((E17)/180*PI())</f>
        <v>64.147267562443872</v>
      </c>
      <c r="E18" s="72">
        <f>E16*COS((E17)/180*PI())</f>
        <v>3.9294962870368976E-15</v>
      </c>
      <c r="F18" s="72">
        <f>-G16*SIN((G17)/180*PI())</f>
        <v>-0.47908223534668071</v>
      </c>
      <c r="G18" s="72">
        <f>G16*COS((G17)/180*PI())</f>
        <v>1.6039813626645503</v>
      </c>
      <c r="H18" s="72">
        <f>-I16*SIN((I17)/180*PI())</f>
        <v>75.179749355763676</v>
      </c>
      <c r="I18" s="72">
        <f>I16*COS((I17)/180*PI())</f>
        <v>4.6053176881815597E-15</v>
      </c>
      <c r="J18" s="72"/>
      <c r="K18" s="72"/>
      <c r="L18" s="72"/>
      <c r="M18" s="72"/>
      <c r="N18" s="314"/>
      <c r="O18" s="314"/>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3" customFormat="1" ht="69" customHeight="1" x14ac:dyDescent="0.3">
      <c r="A19" s="251" t="s">
        <v>40</v>
      </c>
      <c r="B19" s="388"/>
      <c r="C19" s="388"/>
      <c r="D19" s="322"/>
      <c r="E19" s="322"/>
      <c r="F19" s="388"/>
      <c r="G19" s="388"/>
      <c r="H19" s="322"/>
      <c r="I19" s="322"/>
      <c r="J19" s="388"/>
      <c r="K19" s="388"/>
      <c r="L19" s="322"/>
      <c r="M19" s="322"/>
      <c r="N19" s="432"/>
      <c r="O19" s="432"/>
      <c r="P19" s="322"/>
      <c r="Q19" s="322"/>
      <c r="R19" s="432"/>
      <c r="S19" s="432"/>
      <c r="T19" s="322"/>
      <c r="U19" s="322"/>
      <c r="V19" s="432"/>
      <c r="W19" s="432"/>
      <c r="X19" s="322"/>
      <c r="Y19" s="322"/>
      <c r="Z19" s="388"/>
      <c r="AA19" s="388"/>
      <c r="AB19" s="322"/>
      <c r="AC19" s="322"/>
      <c r="AD19" s="388"/>
      <c r="AE19" s="388"/>
      <c r="AF19" s="322"/>
      <c r="AG19" s="322"/>
      <c r="AH19" s="388"/>
      <c r="AI19" s="388"/>
      <c r="AJ19" s="322"/>
      <c r="AK19" s="322"/>
      <c r="AL19" s="388"/>
      <c r="AM19" s="388"/>
      <c r="AN19" s="322"/>
      <c r="AO19" s="322"/>
    </row>
    <row r="20" spans="1:41" s="127" customFormat="1" x14ac:dyDescent="0.3">
      <c r="A20" s="252" t="s">
        <v>38</v>
      </c>
      <c r="D20" s="67"/>
      <c r="E20" s="67"/>
      <c r="H20" s="67"/>
      <c r="I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0.12247332174349396</v>
      </c>
      <c r="D21" s="63"/>
      <c r="E21" s="118">
        <f>E16/E8</f>
        <v>0.11899995485276452</v>
      </c>
      <c r="G21" s="118">
        <f>G16/G8</f>
        <v>0.1063179159453416</v>
      </c>
      <c r="H21" s="63"/>
      <c r="I21" s="118">
        <f>I16/I8</f>
        <v>0.1212560830491707</v>
      </c>
      <c r="L21" s="63"/>
      <c r="P21" s="63"/>
      <c r="T21" s="63"/>
      <c r="X21" s="63"/>
      <c r="AB21" s="63"/>
      <c r="AF21" s="63"/>
      <c r="AJ21" s="63"/>
      <c r="AN21" s="63"/>
    </row>
    <row r="22" spans="1:41" x14ac:dyDescent="0.3">
      <c r="A22" s="118" t="s">
        <v>34</v>
      </c>
      <c r="C22" s="129"/>
      <c r="D22" s="63"/>
      <c r="E22" s="63"/>
      <c r="G22" s="129"/>
      <c r="H22" s="63"/>
      <c r="I22" s="63"/>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0.12247332174349396</v>
      </c>
      <c r="D23" s="63"/>
      <c r="E23" s="118">
        <f>E21-$C22</f>
        <v>0.11899995485276452</v>
      </c>
      <c r="G23" s="118">
        <f>G21-$C22</f>
        <v>0.1063179159453416</v>
      </c>
      <c r="H23" s="63"/>
      <c r="I23" s="118">
        <f>I21-$C22</f>
        <v>0.1212560830491707</v>
      </c>
      <c r="L23" s="63"/>
      <c r="P23" s="63"/>
      <c r="T23" s="63"/>
      <c r="X23" s="63"/>
      <c r="AB23" s="63"/>
      <c r="AF23" s="63"/>
      <c r="AJ23" s="63"/>
      <c r="AN23" s="63"/>
    </row>
    <row r="24" spans="1:41" x14ac:dyDescent="0.3">
      <c r="A24" s="139" t="s">
        <v>64</v>
      </c>
      <c r="C24" s="74">
        <f>MOD(C9-C17,360)</f>
        <v>187.36917295979029</v>
      </c>
      <c r="D24" s="63"/>
      <c r="E24" s="74">
        <f>MOD(E9-E17,360)</f>
        <v>185.00196816196285</v>
      </c>
      <c r="G24" s="74">
        <f>MOD(G9-G17,360)</f>
        <v>186.49596263802738</v>
      </c>
      <c r="H24" s="63"/>
      <c r="I24" s="74">
        <f>MOD(I9-I17,360)</f>
        <v>185.64622621599966</v>
      </c>
      <c r="K24" s="74"/>
      <c r="L24" s="63"/>
      <c r="M24" s="74"/>
      <c r="O24" s="316"/>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H25" s="63"/>
      <c r="I25" s="63"/>
      <c r="L25" s="63"/>
      <c r="M25" s="63"/>
      <c r="P25" s="63"/>
      <c r="Q25" s="63"/>
      <c r="T25" s="63"/>
      <c r="U25" s="63"/>
      <c r="X25" s="63"/>
      <c r="Y25" s="63"/>
      <c r="AB25" s="63"/>
      <c r="AC25" s="63"/>
      <c r="AF25" s="63"/>
      <c r="AG25" s="63"/>
      <c r="AJ25" s="63"/>
      <c r="AK25" s="63"/>
      <c r="AN25" s="63"/>
      <c r="AO25" s="63"/>
    </row>
    <row r="26" spans="1:41" x14ac:dyDescent="0.3">
      <c r="A26" s="118" t="s">
        <v>35</v>
      </c>
      <c r="C26" s="118">
        <f>C24-$C25</f>
        <v>187.36917295979029</v>
      </c>
      <c r="D26" s="63"/>
      <c r="E26" s="118">
        <f>E24-$C25</f>
        <v>185.00196816196285</v>
      </c>
      <c r="G26" s="118">
        <f>G24-$C25</f>
        <v>186.49596263802738</v>
      </c>
      <c r="H26" s="63"/>
      <c r="I26" s="118">
        <f>I24-$C25</f>
        <v>185.64622621599966</v>
      </c>
      <c r="L26" s="63"/>
      <c r="P26" s="63"/>
      <c r="T26" s="63"/>
      <c r="X26" s="63"/>
      <c r="AB26" s="63"/>
      <c r="AF26" s="63"/>
      <c r="AJ26" s="63"/>
      <c r="AN26" s="63"/>
    </row>
    <row r="27" spans="1:41" x14ac:dyDescent="0.3">
      <c r="A27" s="118" t="s">
        <v>67</v>
      </c>
      <c r="C27" s="118">
        <f>SQRT(C16)</f>
        <v>1.284912448379266</v>
      </c>
      <c r="D27" s="63"/>
      <c r="E27" s="63">
        <f>SQRT(E16)</f>
        <v>8.0091989338787108</v>
      </c>
      <c r="G27" s="118">
        <f>SQRT(G16)</f>
        <v>1.2938315191708694</v>
      </c>
      <c r="H27" s="63"/>
      <c r="I27" s="63">
        <f>SQRT(I16)</f>
        <v>8.6706256611483159</v>
      </c>
      <c r="L27" s="63"/>
      <c r="M27" s="63"/>
      <c r="P27" s="63"/>
      <c r="Q27" s="63"/>
      <c r="T27" s="63"/>
      <c r="U27" s="63"/>
      <c r="X27" s="63"/>
      <c r="Y27" s="63"/>
      <c r="AB27" s="63"/>
      <c r="AC27" s="63"/>
      <c r="AF27" s="63"/>
      <c r="AG27" s="63"/>
      <c r="AJ27" s="63"/>
      <c r="AK27" s="63"/>
      <c r="AN27" s="63"/>
      <c r="AO27" s="63"/>
    </row>
    <row r="28" spans="1:41" x14ac:dyDescent="0.3">
      <c r="A28" s="129" t="s">
        <v>68</v>
      </c>
      <c r="C28" s="118">
        <f>C27*C21</f>
        <v>0.15736749570257441</v>
      </c>
      <c r="D28" s="63"/>
      <c r="E28" s="118">
        <f>E27*E21</f>
        <v>0.95309431153837632</v>
      </c>
      <c r="G28" s="118">
        <f>G27*G21</f>
        <v>0.1375574707026421</v>
      </c>
      <c r="H28" s="63"/>
      <c r="I28" s="118">
        <f>I27*I21</f>
        <v>1.0513661052564707</v>
      </c>
      <c r="L28" s="63"/>
      <c r="P28" s="63"/>
      <c r="T28" s="63"/>
      <c r="X28" s="63"/>
      <c r="AB28" s="63"/>
      <c r="AF28" s="63"/>
      <c r="AJ28" s="63"/>
      <c r="AN28" s="63"/>
    </row>
    <row r="29" spans="1:41" x14ac:dyDescent="0.3">
      <c r="A29" s="139" t="s">
        <v>69</v>
      </c>
      <c r="B29" s="118" t="s">
        <v>357</v>
      </c>
      <c r="C29" s="139">
        <f>SUM(B28:I28)/SUM(B27:I27)</f>
        <v>0.11939544601815216</v>
      </c>
      <c r="D29" s="63"/>
      <c r="E29" s="63"/>
      <c r="F29" s="118" t="s">
        <v>357</v>
      </c>
      <c r="G29" s="139"/>
      <c r="H29" s="63"/>
      <c r="I29" s="63"/>
      <c r="K29" s="139"/>
      <c r="L29" s="63"/>
      <c r="M29" s="63"/>
      <c r="O29" s="317"/>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1.0178954413701696E-3</v>
      </c>
      <c r="C30" s="139">
        <f>C21-$C$29</f>
        <v>3.0778757253417943E-3</v>
      </c>
      <c r="D30" s="63"/>
      <c r="E30" s="139">
        <f>E21-$C29</f>
        <v>-3.9549116538764584E-4</v>
      </c>
      <c r="F30" s="118">
        <f>SQRT(SUMSQ(G30:I30)/SUM(G27:I27))</f>
        <v>4.1845685507684487E-3</v>
      </c>
      <c r="G30" s="139">
        <f>G21-$C$29</f>
        <v>-1.3077530072810567E-2</v>
      </c>
      <c r="H30" s="63"/>
      <c r="I30" s="139">
        <f>I21-$C29</f>
        <v>1.8606370310185333E-3</v>
      </c>
      <c r="K30" s="139"/>
      <c r="L30" s="63"/>
      <c r="M30" s="139"/>
      <c r="O30" s="317"/>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240.75298277856231</v>
      </c>
      <c r="D31" s="63"/>
      <c r="E31" s="63">
        <f>E27*E24</f>
        <v>1481.7175661682561</v>
      </c>
      <c r="G31" s="118">
        <f>G27*G24</f>
        <v>241.29435465919266</v>
      </c>
      <c r="H31" s="63"/>
      <c r="I31" s="63">
        <f>I27*I24</f>
        <v>1609.6689329237918</v>
      </c>
      <c r="L31" s="63"/>
      <c r="M31" s="63"/>
      <c r="P31" s="63"/>
      <c r="Q31" s="63"/>
      <c r="T31" s="63"/>
      <c r="U31" s="63"/>
      <c r="X31" s="63"/>
      <c r="Y31" s="63"/>
      <c r="AB31" s="63"/>
      <c r="AC31" s="63"/>
      <c r="AF31" s="63"/>
      <c r="AG31" s="63"/>
      <c r="AJ31" s="63"/>
      <c r="AK31" s="63"/>
      <c r="AN31" s="63"/>
      <c r="AO31" s="63"/>
    </row>
    <row r="32" spans="1:41" x14ac:dyDescent="0.3">
      <c r="A32" s="261" t="s">
        <v>120</v>
      </c>
      <c r="C32" s="139">
        <f>MOD(SUM(B31:I31)/SUM(B27:I27),360)</f>
        <v>185.55033438329488</v>
      </c>
      <c r="D32" s="63"/>
      <c r="E32" s="63"/>
      <c r="G32" s="139"/>
      <c r="H32" s="63"/>
      <c r="I32" s="63"/>
      <c r="K32" s="139"/>
      <c r="L32" s="63"/>
      <c r="M32" s="63"/>
      <c r="O32" s="317"/>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0.6231351374000057</v>
      </c>
      <c r="C33" s="139">
        <f>C24-$C$32</f>
        <v>1.8188385764954091</v>
      </c>
      <c r="D33" s="63"/>
      <c r="E33" s="139">
        <f>E24-$C$32</f>
        <v>-0.5483662213320315</v>
      </c>
      <c r="F33" s="118">
        <f>SQRT(SUMSQ(G33:I33)/SUM(G27:I27))</f>
        <v>0.30110304880948752</v>
      </c>
      <c r="G33" s="139">
        <f>G24-$C$32</f>
        <v>0.94562825473249745</v>
      </c>
      <c r="H33" s="63"/>
      <c r="I33" s="139">
        <f>I24-$C$32</f>
        <v>9.5891832704779745E-2</v>
      </c>
      <c r="K33" s="139"/>
      <c r="L33" s="63"/>
      <c r="M33" s="139"/>
      <c r="O33" s="317"/>
      <c r="P33" s="63"/>
      <c r="Q33" s="139"/>
      <c r="S33" s="317"/>
      <c r="T33" s="63"/>
      <c r="U33" s="139"/>
      <c r="W33" s="317"/>
      <c r="X33" s="63"/>
      <c r="Y33" s="139"/>
      <c r="AA33" s="139"/>
      <c r="AB33" s="63"/>
      <c r="AC33" s="139"/>
      <c r="AE33" s="139"/>
      <c r="AF33" s="63"/>
      <c r="AG33" s="139"/>
      <c r="AI33" s="139"/>
      <c r="AJ33" s="63"/>
      <c r="AK33" s="139"/>
      <c r="AM33" s="139"/>
      <c r="AN33" s="63"/>
      <c r="AO33" s="139"/>
    </row>
    <row r="34" spans="1:41" s="323" customFormat="1" ht="75.75" customHeight="1" x14ac:dyDescent="0.3">
      <c r="A34" s="251" t="s">
        <v>40</v>
      </c>
      <c r="B34" s="384"/>
      <c r="C34" s="384"/>
      <c r="D34" s="322"/>
      <c r="E34" s="322"/>
      <c r="F34" s="384"/>
      <c r="G34" s="384"/>
      <c r="H34" s="322"/>
      <c r="I34" s="322"/>
      <c r="J34" s="384"/>
      <c r="K34" s="384"/>
      <c r="L34" s="322"/>
      <c r="M34" s="322"/>
      <c r="N34" s="433"/>
      <c r="O34" s="433"/>
      <c r="P34" s="322"/>
      <c r="Q34" s="322"/>
      <c r="R34" s="433"/>
      <c r="S34" s="433"/>
      <c r="T34" s="322"/>
      <c r="U34" s="322"/>
      <c r="V34" s="433"/>
      <c r="W34" s="433"/>
      <c r="X34" s="322"/>
      <c r="Y34" s="322"/>
      <c r="Z34" s="384"/>
      <c r="AA34" s="384"/>
      <c r="AB34" s="322"/>
      <c r="AC34" s="322"/>
      <c r="AD34" s="384"/>
      <c r="AE34" s="384"/>
      <c r="AF34" s="322"/>
      <c r="AG34" s="322"/>
      <c r="AH34" s="384"/>
      <c r="AI34" s="384"/>
      <c r="AJ34" s="322"/>
      <c r="AK34" s="322"/>
      <c r="AL34" s="384"/>
      <c r="AM34" s="384"/>
      <c r="AN34" s="322"/>
      <c r="AO34" s="322"/>
    </row>
    <row r="35" spans="1:41" s="127" customFormat="1" x14ac:dyDescent="0.3">
      <c r="A35" s="120" t="s">
        <v>54</v>
      </c>
      <c r="B35" s="120"/>
      <c r="C35" s="120"/>
      <c r="D35" s="67"/>
      <c r="E35" s="67"/>
      <c r="F35" s="120"/>
      <c r="G35" s="120"/>
      <c r="H35" s="67"/>
      <c r="I35" s="67"/>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1.6095087368399947</v>
      </c>
      <c r="D36" s="63" t="e">
        <f>A36*#REF!/A29</f>
        <v>#VALUE!</v>
      </c>
      <c r="E36" s="63" t="s">
        <v>358</v>
      </c>
      <c r="G36" s="147">
        <f>G8*$C29</f>
        <v>1.8799087139475112</v>
      </c>
      <c r="H36" s="63" t="e">
        <f>E36*#REF!/E29</f>
        <v>#VALUE!</v>
      </c>
      <c r="I36" s="63" t="s">
        <v>358</v>
      </c>
      <c r="K36" s="147"/>
      <c r="L36" s="63"/>
      <c r="M36" s="63"/>
      <c r="O36" s="313"/>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-4.1491263160005287E-2</v>
      </c>
      <c r="D37" s="63"/>
      <c r="E37" s="63"/>
      <c r="G37" s="141">
        <f>G36-G16</f>
        <v>0.20590871394751131</v>
      </c>
      <c r="H37" s="63"/>
      <c r="I37" s="63"/>
      <c r="K37" s="141"/>
      <c r="L37" s="63"/>
      <c r="M37" s="63"/>
      <c r="O37" s="318"/>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-2.5130989194430822E-2</v>
      </c>
      <c r="D38" s="63"/>
      <c r="E38" s="63"/>
      <c r="G38" s="142">
        <f>G37/G16</f>
        <v>0.12300401072133292</v>
      </c>
      <c r="H38" s="63"/>
      <c r="I38" s="63"/>
      <c r="K38" s="142"/>
      <c r="L38" s="63"/>
      <c r="M38" s="63"/>
      <c r="O38" s="319"/>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-4.1491263160005287E-2</v>
      </c>
      <c r="C39" s="142">
        <f>AVERAGE(C38:C38)</f>
        <v>-2.5130989194430822E-2</v>
      </c>
      <c r="D39" s="63"/>
      <c r="E39" s="63"/>
      <c r="F39" s="118">
        <f>AVERAGE(F37:G37)</f>
        <v>0.20590871394751131</v>
      </c>
      <c r="G39" s="142">
        <f>AVERAGE(G38:G38)</f>
        <v>0.12300401072133292</v>
      </c>
      <c r="H39" s="63"/>
      <c r="I39" s="63"/>
      <c r="K39" s="142"/>
      <c r="L39" s="63"/>
      <c r="M39" s="63"/>
      <c r="O39" s="319"/>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63"/>
      <c r="I40" s="63"/>
      <c r="K40" s="142"/>
      <c r="L40" s="63"/>
      <c r="M40" s="63"/>
      <c r="O40" s="319"/>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H41" s="63"/>
      <c r="I41" s="63"/>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200.1688385764954</v>
      </c>
      <c r="D42" s="63" t="e">
        <f>#REF!</f>
        <v>#REF!</v>
      </c>
      <c r="E42" s="141" t="s">
        <v>358</v>
      </c>
      <c r="G42" s="141">
        <f>MOD(G9-$C32,360)</f>
        <v>17.575628254732493</v>
      </c>
      <c r="H42" s="63" t="e">
        <f>#REF!</f>
        <v>#REF!</v>
      </c>
      <c r="I42" s="141" t="s">
        <v>358</v>
      </c>
      <c r="K42" s="141"/>
      <c r="L42" s="63"/>
      <c r="M42" s="141"/>
      <c r="O42" s="318"/>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1.8188385764954091</v>
      </c>
      <c r="E43" s="141"/>
      <c r="G43" s="141">
        <f>G42-G17</f>
        <v>0.9456282547324939</v>
      </c>
      <c r="I43" s="141"/>
      <c r="K43" s="141"/>
      <c r="M43" s="141"/>
      <c r="O43" s="318"/>
      <c r="Q43" s="141"/>
      <c r="S43" s="318"/>
      <c r="U43" s="141"/>
      <c r="W43" s="318"/>
      <c r="Y43" s="141"/>
      <c r="AA43" s="141"/>
      <c r="AC43" s="141"/>
      <c r="AE43" s="141"/>
      <c r="AG43" s="141"/>
      <c r="AI43" s="141"/>
      <c r="AK43" s="141"/>
      <c r="AM43" s="141"/>
      <c r="AO43" s="141"/>
    </row>
    <row r="44" spans="1:41" x14ac:dyDescent="0.3">
      <c r="A44" s="118" t="s">
        <v>56</v>
      </c>
      <c r="B44" s="118">
        <f>AVERAGE(B43:C43)</f>
        <v>1.8188385764954091</v>
      </c>
      <c r="C44" s="141"/>
      <c r="E44" s="141"/>
      <c r="F44" s="118">
        <f>AVERAGE(F43:G43)</f>
        <v>0.9456282547324939</v>
      </c>
      <c r="G44" s="141"/>
      <c r="I44" s="141"/>
      <c r="K44" s="141"/>
      <c r="M44" s="141"/>
      <c r="O44" s="318"/>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I45" s="141"/>
      <c r="K45" s="141"/>
      <c r="M45" s="141"/>
      <c r="O45" s="318"/>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
      <c r="A47" s="118" t="s">
        <v>44</v>
      </c>
      <c r="B47" s="72">
        <f>-C36*SIN((C42)/180*PI())</f>
        <v>0.55493886424189953</v>
      </c>
      <c r="C47" s="72">
        <f>C36*COS((C42)/180*PI())</f>
        <v>-1.5108147573141408</v>
      </c>
      <c r="D47" s="72"/>
      <c r="E47" s="72"/>
      <c r="F47" s="72">
        <f>-G36*SIN((G42)/180*PI())</f>
        <v>-0.56766552070342369</v>
      </c>
      <c r="G47" s="72">
        <f>G36*COS((G42)/180*PI())</f>
        <v>1.7921530708564759</v>
      </c>
      <c r="H47" s="72"/>
      <c r="I47" s="72"/>
      <c r="J47" s="72"/>
      <c r="K47" s="72"/>
      <c r="L47" s="72"/>
      <c r="M47" s="72"/>
      <c r="N47" s="314"/>
      <c r="O47" s="314"/>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3.5169613927527155E-2</v>
      </c>
      <c r="C48" s="72">
        <f>C47-C18</f>
        <v>5.6233718779574504E-2</v>
      </c>
      <c r="D48" s="72"/>
      <c r="E48" s="72"/>
      <c r="F48" s="72">
        <f>F47-F18</f>
        <v>-8.858328535674298E-2</v>
      </c>
      <c r="G48" s="72">
        <f>G47-G18</f>
        <v>0.18817170819192564</v>
      </c>
      <c r="H48" s="72"/>
      <c r="I48" s="72"/>
      <c r="J48" s="72"/>
      <c r="K48" s="72"/>
      <c r="L48" s="72"/>
      <c r="M48" s="72"/>
      <c r="N48" s="314"/>
      <c r="O48" s="314"/>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1.2369017438113119E-3</v>
      </c>
      <c r="C49" s="118">
        <f>C48^2</f>
        <v>3.1622311277802705E-3</v>
      </c>
      <c r="F49" s="118">
        <f>F48^2</f>
        <v>7.8469984445941558E-3</v>
      </c>
      <c r="G49" s="118">
        <f>G48^2</f>
        <v>3.5408591763867216E-2</v>
      </c>
    </row>
    <row r="50" spans="1:41" s="129" customFormat="1" x14ac:dyDescent="0.3">
      <c r="A50" s="118" t="s">
        <v>47</v>
      </c>
      <c r="B50" s="72"/>
      <c r="C50" s="72">
        <f>SQRT(B49+C49)</f>
        <v>6.6325959258736564E-2</v>
      </c>
      <c r="D50" s="72"/>
      <c r="E50" s="72"/>
      <c r="F50" s="72"/>
      <c r="G50" s="72">
        <f>SQRT(F49+G49)</f>
        <v>0.20797978317245494</v>
      </c>
      <c r="H50" s="72"/>
      <c r="I50" s="72"/>
      <c r="J50" s="72"/>
      <c r="K50" s="72"/>
      <c r="L50" s="72"/>
      <c r="M50" s="72"/>
      <c r="N50" s="314"/>
      <c r="O50" s="314"/>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4.1208822133489413E-2</v>
      </c>
      <c r="D51" s="72"/>
      <c r="E51" s="77"/>
      <c r="F51" s="72"/>
      <c r="G51" s="77">
        <f>G50/G36</f>
        <v>0.11063291617800433</v>
      </c>
      <c r="H51" s="72"/>
      <c r="I51" s="77"/>
      <c r="J51" s="72"/>
      <c r="K51" s="77"/>
      <c r="L51" s="72"/>
      <c r="M51" s="77"/>
      <c r="N51" s="314"/>
      <c r="O51" s="320"/>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6.6325959258736564E-2</v>
      </c>
      <c r="C53" s="144"/>
      <c r="D53" s="72"/>
      <c r="E53" s="144"/>
      <c r="F53" s="72">
        <f>MEDIAN(F50:G50)</f>
        <v>0.20797978317245494</v>
      </c>
      <c r="G53" s="144"/>
      <c r="H53" s="72"/>
      <c r="I53" s="144"/>
      <c r="J53" s="72"/>
      <c r="K53" s="144"/>
      <c r="L53" s="72"/>
      <c r="M53" s="144"/>
      <c r="N53" s="314"/>
      <c r="O53" s="320"/>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6.6325959258736564E-2</v>
      </c>
      <c r="C54" s="144"/>
      <c r="D54" s="72"/>
      <c r="E54" s="144"/>
      <c r="F54" s="72">
        <f>AVERAGE(F50:G50)</f>
        <v>0.20797978317245494</v>
      </c>
      <c r="G54" s="144"/>
      <c r="H54" s="72"/>
      <c r="I54" s="144"/>
      <c r="J54" s="72"/>
      <c r="K54" s="144"/>
      <c r="L54" s="72"/>
      <c r="M54" s="144"/>
      <c r="N54" s="314"/>
      <c r="O54" s="320"/>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c r="I55" s="144"/>
      <c r="J55" s="72"/>
      <c r="K55" s="144"/>
      <c r="L55" s="72"/>
      <c r="M55" s="144"/>
      <c r="N55" s="314"/>
      <c r="O55" s="320"/>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144"/>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1.744708725393753</v>
      </c>
      <c r="C59" s="141">
        <f>AVERAGE(C37:I37)</f>
        <v>8.2208725393753013E-2</v>
      </c>
      <c r="D59" s="302">
        <f>AVERAGE(C38:I38)</f>
        <v>4.8936510763451048E-2</v>
      </c>
      <c r="F59" s="166">
        <f>AVERAGE(G36,K36)</f>
        <v>1.8799087139475112</v>
      </c>
      <c r="G59" s="141">
        <f>AVERAGE(G37:M37)</f>
        <v>0.20590871394751131</v>
      </c>
      <c r="H59" s="302">
        <f>AVERAGE(G38:M38)</f>
        <v>0.12300401072133292</v>
      </c>
      <c r="J59" s="166"/>
      <c r="K59" s="141"/>
      <c r="L59" s="302"/>
      <c r="N59" s="321"/>
      <c r="O59" s="318"/>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0.19120165744541215</v>
      </c>
      <c r="C60" s="118">
        <f>STDEV(C37:I37)</f>
        <v>0.17493820147812161</v>
      </c>
      <c r="D60" s="118">
        <f>STDEV(C38:I38)</f>
        <v>0.10474726297150519</v>
      </c>
      <c r="F60" s="166" t="e">
        <f>STDEV(G36,K36)</f>
        <v>#DIV/0!</v>
      </c>
      <c r="G60" s="118" t="e">
        <f>STDEV(G37:M37)</f>
        <v>#DIV/0!</v>
      </c>
      <c r="H60" s="118" t="e">
        <f>STDEV(G38:M38)</f>
        <v>#DIV/0!</v>
      </c>
      <c r="J60" s="166"/>
      <c r="N60" s="321"/>
      <c r="R60" s="321"/>
      <c r="V60" s="321"/>
      <c r="Z60" s="166"/>
      <c r="AD60" s="166"/>
      <c r="AH60" s="166"/>
      <c r="AL60" s="166"/>
    </row>
    <row r="61" spans="1:41" x14ac:dyDescent="0.3">
      <c r="A61" s="129" t="s">
        <v>117</v>
      </c>
      <c r="B61" s="166">
        <f>AVERAGE(C42,G42)</f>
        <v>108.87223341561395</v>
      </c>
      <c r="F61" s="166">
        <f>AVERAGE(G42,K42)</f>
        <v>17.575628254732493</v>
      </c>
      <c r="J61" s="166"/>
      <c r="N61" s="321"/>
      <c r="R61" s="321"/>
      <c r="V61" s="321"/>
      <c r="Z61" s="166"/>
      <c r="AD61" s="167"/>
      <c r="AH61" s="166"/>
      <c r="AL61" s="166"/>
    </row>
    <row r="62" spans="1:41" x14ac:dyDescent="0.3">
      <c r="A62" s="129" t="s">
        <v>118</v>
      </c>
      <c r="B62" s="166">
        <f>STDEV(C42,G42)</f>
        <v>129.11289721714004</v>
      </c>
      <c r="F62" s="166" t="e">
        <f>STDEV(G42,K42)</f>
        <v>#DIV/0!</v>
      </c>
      <c r="J62" s="166"/>
      <c r="N62" s="321"/>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AD19:AE19"/>
    <mergeCell ref="V34:W34"/>
    <mergeCell ref="Z10:AA10"/>
    <mergeCell ref="AB10:AC10"/>
    <mergeCell ref="AD10:AE10"/>
    <mergeCell ref="Z34:AA34"/>
    <mergeCell ref="AD34:AE34"/>
    <mergeCell ref="AH34:AI34"/>
    <mergeCell ref="AL34:AM34"/>
    <mergeCell ref="AH19:AI19"/>
    <mergeCell ref="AL19:AM19"/>
    <mergeCell ref="B34:C34"/>
    <mergeCell ref="J34:K34"/>
    <mergeCell ref="N34:O34"/>
    <mergeCell ref="R34:S34"/>
    <mergeCell ref="B19:C19"/>
    <mergeCell ref="J19:K19"/>
    <mergeCell ref="N19:O19"/>
    <mergeCell ref="R19:S19"/>
    <mergeCell ref="F19:G19"/>
    <mergeCell ref="F34:G34"/>
    <mergeCell ref="V19:W19"/>
    <mergeCell ref="Z19:AA19"/>
  </mergeCells>
  <pageMargins left="0.7" right="0.7" top="0.75" bottom="0.75" header="0.3" footer="0.3"/>
  <pageSetup scale="23"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29" activePane="bottomRight" state="frozenSplit"/>
      <selection pane="topRight"/>
      <selection pane="bottomLeft" activeCell="A3" sqref="A3"/>
      <selection pane="bottomRight" activeCell="L10" sqref="L10:M10"/>
    </sheetView>
  </sheetViews>
  <sheetFormatPr defaultColWidth="9.109375" defaultRowHeight="14.4" x14ac:dyDescent="0.3"/>
  <cols>
    <col min="1" max="1" width="28" style="118" customWidth="1"/>
    <col min="2"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426</v>
      </c>
      <c r="E2" s="116" t="s">
        <v>427</v>
      </c>
      <c r="F2" s="116"/>
      <c r="G2" s="116" t="s">
        <v>433</v>
      </c>
      <c r="I2" s="116" t="s">
        <v>428</v>
      </c>
      <c r="J2" s="116"/>
      <c r="K2" s="310" t="s">
        <v>429</v>
      </c>
      <c r="L2" s="116"/>
      <c r="M2" s="116" t="s">
        <v>430</v>
      </c>
      <c r="O2" s="116" t="s">
        <v>432</v>
      </c>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61"/>
      <c r="I3" s="61"/>
      <c r="J3" s="116" t="s">
        <v>61</v>
      </c>
      <c r="K3" s="116" t="s">
        <v>60</v>
      </c>
      <c r="L3" s="116" t="s">
        <v>61</v>
      </c>
      <c r="M3" s="116" t="s">
        <v>60</v>
      </c>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325.43599999999998</v>
      </c>
      <c r="C4" s="217">
        <v>195.92500000000001</v>
      </c>
      <c r="D4" s="63">
        <v>574</v>
      </c>
      <c r="E4" s="63">
        <v>1048</v>
      </c>
      <c r="F4" s="217">
        <v>401.70400000000001</v>
      </c>
      <c r="G4" s="217">
        <v>285.57</v>
      </c>
      <c r="H4" s="63">
        <v>808</v>
      </c>
      <c r="I4" s="63">
        <v>1254</v>
      </c>
      <c r="J4" s="217">
        <v>1810.059</v>
      </c>
      <c r="K4" s="217">
        <v>594.91</v>
      </c>
      <c r="L4" s="217">
        <v>1615.3579999999999</v>
      </c>
      <c r="M4" s="217">
        <v>2017.086</v>
      </c>
      <c r="N4" s="61">
        <v>1405</v>
      </c>
      <c r="O4" s="61">
        <v>1082</v>
      </c>
      <c r="P4" s="217">
        <v>1615.3579999999999</v>
      </c>
      <c r="Q4" s="217">
        <v>2017.086</v>
      </c>
      <c r="T4" s="63"/>
      <c r="U4" s="63"/>
      <c r="X4" s="63"/>
      <c r="Y4" s="63"/>
      <c r="AB4" s="63"/>
      <c r="AC4" s="63"/>
      <c r="AF4" s="63"/>
      <c r="AG4" s="63"/>
      <c r="AJ4" s="63"/>
      <c r="AK4" s="63"/>
      <c r="AL4" s="217"/>
      <c r="AM4" s="217"/>
      <c r="AN4" s="63"/>
      <c r="AO4" s="63"/>
      <c r="AQ4" s="217"/>
      <c r="AR4" s="217"/>
    </row>
    <row r="5" spans="1:44" x14ac:dyDescent="0.3">
      <c r="A5" s="118" t="s">
        <v>2</v>
      </c>
      <c r="B5" s="217">
        <v>294.64499999999998</v>
      </c>
      <c r="C5" s="217">
        <v>203.50200000000001</v>
      </c>
      <c r="D5" s="63">
        <v>1068</v>
      </c>
      <c r="E5" s="63">
        <v>1056</v>
      </c>
      <c r="F5" s="217">
        <v>370.56200000000001</v>
      </c>
      <c r="G5" s="217">
        <v>311.37299999999999</v>
      </c>
      <c r="H5" s="63">
        <v>1330</v>
      </c>
      <c r="I5" s="63">
        <v>1252</v>
      </c>
      <c r="J5" s="217">
        <v>1814</v>
      </c>
      <c r="K5" s="217">
        <v>580</v>
      </c>
      <c r="L5" s="217">
        <v>1600.8040000000001</v>
      </c>
      <c r="M5" s="217">
        <v>2013.942</v>
      </c>
      <c r="N5" s="63">
        <v>1813</v>
      </c>
      <c r="O5" s="63">
        <v>1085</v>
      </c>
      <c r="P5" s="217">
        <v>1600.8040000000001</v>
      </c>
      <c r="Q5" s="217">
        <v>2013.942</v>
      </c>
      <c r="T5" s="63"/>
      <c r="U5" s="63"/>
      <c r="X5" s="63"/>
      <c r="Y5" s="63"/>
      <c r="AB5" s="63"/>
      <c r="AC5" s="63"/>
      <c r="AF5" s="63"/>
      <c r="AG5" s="63"/>
      <c r="AJ5" s="63"/>
      <c r="AK5" s="63"/>
      <c r="AL5" s="217"/>
      <c r="AM5" s="217"/>
      <c r="AN5" s="63"/>
      <c r="AO5" s="63"/>
      <c r="AQ5" s="217"/>
      <c r="AR5" s="217"/>
    </row>
    <row r="6" spans="1:44" x14ac:dyDescent="0.3">
      <c r="A6" s="118" t="s">
        <v>4</v>
      </c>
      <c r="B6" s="118">
        <f t="shared" ref="B6:E6" si="0">B5-B4</f>
        <v>-30.790999999999997</v>
      </c>
      <c r="C6" s="118">
        <f t="shared" si="0"/>
        <v>7.5769999999999982</v>
      </c>
      <c r="D6" s="63">
        <f t="shared" si="0"/>
        <v>494</v>
      </c>
      <c r="E6" s="63">
        <f t="shared" si="0"/>
        <v>8</v>
      </c>
      <c r="F6" s="118">
        <f t="shared" ref="F6:K6" si="1">F5-F4</f>
        <v>-31.141999999999996</v>
      </c>
      <c r="G6" s="118">
        <f t="shared" si="1"/>
        <v>25.802999999999997</v>
      </c>
      <c r="H6" s="63">
        <f t="shared" si="1"/>
        <v>522</v>
      </c>
      <c r="I6" s="63">
        <f t="shared" si="1"/>
        <v>-2</v>
      </c>
      <c r="J6" s="118">
        <f t="shared" si="1"/>
        <v>3.9410000000000309</v>
      </c>
      <c r="K6" s="118">
        <f t="shared" si="1"/>
        <v>-14.909999999999968</v>
      </c>
      <c r="L6" s="118">
        <f>L5-L4</f>
        <v>-14.55399999999986</v>
      </c>
      <c r="M6" s="118">
        <f>M5-M4</f>
        <v>-3.1440000000000055</v>
      </c>
      <c r="N6" s="63">
        <f t="shared" ref="N6:O6" si="2">N5-N4</f>
        <v>408</v>
      </c>
      <c r="O6" s="63">
        <f t="shared" si="2"/>
        <v>3</v>
      </c>
      <c r="P6" s="63"/>
      <c r="Q6" s="63"/>
      <c r="T6" s="63"/>
      <c r="U6" s="63"/>
      <c r="X6" s="63"/>
      <c r="Y6" s="63"/>
      <c r="AB6" s="63"/>
      <c r="AC6" s="63"/>
      <c r="AF6" s="63"/>
      <c r="AG6" s="63"/>
      <c r="AJ6" s="63"/>
      <c r="AK6" s="63"/>
      <c r="AN6" s="63"/>
      <c r="AO6" s="63"/>
    </row>
    <row r="7" spans="1:44" x14ac:dyDescent="0.3">
      <c r="A7" s="118" t="s">
        <v>5</v>
      </c>
      <c r="B7" s="118">
        <f t="shared" ref="B7:E7" si="3">B6^2</f>
        <v>948.08568099999979</v>
      </c>
      <c r="C7" s="118">
        <f t="shared" si="3"/>
        <v>57.410928999999975</v>
      </c>
      <c r="D7" s="63">
        <f t="shared" si="3"/>
        <v>244036</v>
      </c>
      <c r="E7" s="63">
        <f t="shared" si="3"/>
        <v>64</v>
      </c>
      <c r="F7" s="118">
        <f t="shared" ref="F7:M7" si="4">F6^2</f>
        <v>969.82416399999977</v>
      </c>
      <c r="G7" s="118">
        <f t="shared" si="4"/>
        <v>665.79480899999987</v>
      </c>
      <c r="H7" s="63">
        <f t="shared" si="4"/>
        <v>272484</v>
      </c>
      <c r="I7" s="63">
        <f t="shared" si="4"/>
        <v>4</v>
      </c>
      <c r="J7" s="118">
        <f t="shared" si="4"/>
        <v>15.531481000000245</v>
      </c>
      <c r="K7" s="118">
        <f t="shared" si="4"/>
        <v>222.30809999999906</v>
      </c>
      <c r="L7" s="118">
        <f t="shared" si="4"/>
        <v>211.81891599999594</v>
      </c>
      <c r="M7" s="118">
        <f t="shared" si="4"/>
        <v>9.8847360000000339</v>
      </c>
      <c r="N7" s="63">
        <f t="shared" ref="N7:O7" si="5">N6^2</f>
        <v>166464</v>
      </c>
      <c r="O7" s="63">
        <f t="shared" si="5"/>
        <v>9</v>
      </c>
      <c r="P7" s="63"/>
      <c r="Q7" s="63"/>
      <c r="T7" s="63"/>
      <c r="U7" s="63"/>
      <c r="X7" s="63"/>
      <c r="Y7" s="63"/>
      <c r="AB7" s="63"/>
      <c r="AC7" s="63"/>
      <c r="AF7" s="63"/>
      <c r="AG7" s="63"/>
      <c r="AJ7" s="63"/>
      <c r="AK7" s="63"/>
      <c r="AN7" s="63"/>
      <c r="AO7" s="63"/>
    </row>
    <row r="8" spans="1:44" x14ac:dyDescent="0.3">
      <c r="A8" s="118" t="s">
        <v>6</v>
      </c>
      <c r="C8" s="118">
        <f>SQRT(SUM(B7:C7))</f>
        <v>31.709566537560868</v>
      </c>
      <c r="D8" s="63"/>
      <c r="E8" s="63">
        <f>SQRT(SUM(D7:E7))</f>
        <v>494.06477308142502</v>
      </c>
      <c r="G8" s="118">
        <f>SQRT(SUM(F7:G7))</f>
        <v>40.442786414884914</v>
      </c>
      <c r="H8" s="63"/>
      <c r="I8" s="63">
        <f>SQRT(SUM(H7:I7))</f>
        <v>522.00383140356359</v>
      </c>
      <c r="K8" s="118">
        <f>SQRT(SUM(J7:K7))</f>
        <v>15.422048534484622</v>
      </c>
      <c r="M8" s="118">
        <f>SQRT(SUM(L7:M7))</f>
        <v>14.889716316975148</v>
      </c>
      <c r="N8" s="63"/>
      <c r="O8" s="63">
        <f>SQRT(SUM(N7:O7))</f>
        <v>408.01102926269039</v>
      </c>
      <c r="P8" s="63"/>
      <c r="Q8" s="63"/>
      <c r="T8" s="63"/>
      <c r="U8" s="63"/>
      <c r="X8" s="63"/>
      <c r="Y8" s="63"/>
      <c r="AB8" s="63"/>
      <c r="AC8" s="63"/>
      <c r="AF8" s="63"/>
      <c r="AG8" s="63"/>
      <c r="AJ8" s="63"/>
      <c r="AK8" s="63"/>
      <c r="AN8" s="63"/>
      <c r="AO8" s="63"/>
    </row>
    <row r="9" spans="1:44" x14ac:dyDescent="0.3">
      <c r="A9" s="118" t="s">
        <v>7</v>
      </c>
      <c r="C9" s="118">
        <f>MOD(ATAN2(C6,B6)*180/PI()+270,360)</f>
        <v>193.82457508839937</v>
      </c>
      <c r="D9" s="63"/>
      <c r="E9" s="63">
        <f>MOD(ATAN2(E6,D6)*180/PI()+270,360)</f>
        <v>359.07221422553835</v>
      </c>
      <c r="G9" s="118">
        <f>MOD(ATAN2(G6,F6)*180/PI()+270,360)</f>
        <v>219.6437697661766</v>
      </c>
      <c r="H9" s="63"/>
      <c r="I9" s="63">
        <f>MOD(ATAN2(I6,H6)*180/PI()+270,360)</f>
        <v>0.21952298525962988</v>
      </c>
      <c r="K9" s="118">
        <f>MOD(ATAN2(K6,J6)*180/PI()+270,360)</f>
        <v>75.194223912315351</v>
      </c>
      <c r="M9" s="118">
        <f>MOD(ATAN2(M6,L6)*180/PI()+270,360)</f>
        <v>167.81010301217685</v>
      </c>
      <c r="N9" s="63"/>
      <c r="O9" s="63">
        <f>MOD(ATAN2(O6,N6)*180/PI()+270,360)</f>
        <v>359.5787150958314</v>
      </c>
      <c r="P9" s="63"/>
      <c r="Q9" s="63"/>
      <c r="T9" s="63"/>
      <c r="U9" s="63"/>
      <c r="X9" s="63"/>
      <c r="Y9" s="63"/>
      <c r="AB9" s="63"/>
      <c r="AC9" s="63"/>
      <c r="AF9" s="63"/>
      <c r="AG9" s="63"/>
      <c r="AJ9" s="63"/>
      <c r="AK9" s="63"/>
      <c r="AN9" s="63"/>
      <c r="AO9" s="63"/>
    </row>
    <row r="10" spans="1:44" s="329" customFormat="1" ht="117" customHeight="1" x14ac:dyDescent="0.3">
      <c r="A10" s="250" t="s">
        <v>40</v>
      </c>
      <c r="B10" s="430" t="s">
        <v>421</v>
      </c>
      <c r="C10" s="430"/>
      <c r="D10" s="430"/>
      <c r="E10" s="430"/>
      <c r="F10" s="430" t="s">
        <v>421</v>
      </c>
      <c r="G10" s="430"/>
      <c r="H10" s="430"/>
      <c r="I10" s="430"/>
      <c r="J10" s="430" t="s">
        <v>431</v>
      </c>
      <c r="K10" s="430"/>
      <c r="L10" s="434" t="s">
        <v>434</v>
      </c>
      <c r="M10" s="434"/>
      <c r="N10" s="430"/>
      <c r="O10" s="430"/>
      <c r="P10" s="430"/>
      <c r="Q10" s="430"/>
      <c r="R10" s="434"/>
      <c r="S10" s="434"/>
      <c r="T10" s="430"/>
      <c r="U10" s="430"/>
      <c r="V10" s="434"/>
      <c r="W10" s="434"/>
      <c r="X10" s="430"/>
      <c r="Y10" s="430"/>
      <c r="Z10" s="430"/>
      <c r="AA10" s="430"/>
      <c r="AB10" s="430"/>
      <c r="AC10" s="430"/>
      <c r="AD10" s="430"/>
      <c r="AE10" s="430"/>
      <c r="AH10" s="430"/>
      <c r="AI10" s="430"/>
      <c r="AL10" s="430"/>
      <c r="AM10" s="430"/>
    </row>
    <row r="11" spans="1:44" s="127" customFormat="1" x14ac:dyDescent="0.3">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7" customFormat="1" x14ac:dyDescent="0.3">
      <c r="B12" s="327" t="s">
        <v>62</v>
      </c>
      <c r="C12" s="327" t="s">
        <v>63</v>
      </c>
      <c r="D12" s="69"/>
      <c r="E12" s="69"/>
      <c r="F12" s="327" t="s">
        <v>62</v>
      </c>
      <c r="G12" s="327" t="s">
        <v>63</v>
      </c>
      <c r="H12" s="69"/>
      <c r="I12" s="69"/>
      <c r="J12" s="327" t="s">
        <v>62</v>
      </c>
      <c r="K12" s="327" t="s">
        <v>63</v>
      </c>
      <c r="L12" s="327" t="s">
        <v>62</v>
      </c>
      <c r="M12" s="327" t="s">
        <v>63</v>
      </c>
      <c r="N12" s="69"/>
      <c r="O12" s="69"/>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H13" s="63"/>
      <c r="I13" s="63"/>
      <c r="N13" s="63"/>
      <c r="O13" s="63"/>
      <c r="P13" s="63"/>
      <c r="Q13" s="63"/>
      <c r="T13" s="63"/>
      <c r="U13" s="63"/>
      <c r="X13" s="63"/>
      <c r="Y13" s="63"/>
      <c r="AB13" s="63"/>
      <c r="AC13" s="63"/>
      <c r="AF13" s="63"/>
      <c r="AG13" s="63"/>
      <c r="AJ13" s="63"/>
      <c r="AK13" s="63"/>
      <c r="AN13" s="63"/>
      <c r="AO13" s="63"/>
    </row>
    <row r="14" spans="1:44" x14ac:dyDescent="0.3">
      <c r="A14" s="118" t="s">
        <v>17</v>
      </c>
      <c r="D14" s="63"/>
      <c r="E14" s="63"/>
      <c r="H14" s="63"/>
      <c r="I14" s="63"/>
      <c r="N14" s="63"/>
      <c r="O14" s="63"/>
      <c r="P14" s="63"/>
      <c r="Q14" s="63"/>
      <c r="T14" s="63"/>
      <c r="U14" s="63"/>
      <c r="X14" s="63"/>
      <c r="Y14" s="63"/>
      <c r="AB14" s="63"/>
      <c r="AC14" s="63"/>
      <c r="AF14" s="63"/>
      <c r="AG14" s="63"/>
      <c r="AJ14" s="63"/>
      <c r="AK14" s="63"/>
      <c r="AN14" s="63"/>
      <c r="AO14" s="63"/>
    </row>
    <row r="15" spans="1:44" x14ac:dyDescent="0.3">
      <c r="A15" s="118" t="s">
        <v>14</v>
      </c>
      <c r="D15" s="63"/>
      <c r="E15" s="63"/>
      <c r="H15" s="63"/>
      <c r="I15" s="63"/>
      <c r="N15" s="63"/>
      <c r="O15" s="63"/>
      <c r="P15" s="63"/>
      <c r="Q15" s="63"/>
      <c r="T15" s="63"/>
      <c r="U15" s="63"/>
      <c r="X15" s="63"/>
      <c r="Y15" s="63"/>
      <c r="AB15" s="63"/>
      <c r="AC15" s="63"/>
      <c r="AF15" s="63"/>
      <c r="AG15" s="63"/>
      <c r="AJ15" s="63"/>
      <c r="AK15" s="63"/>
      <c r="AN15" s="63"/>
      <c r="AO15" s="63"/>
    </row>
    <row r="16" spans="1:44" x14ac:dyDescent="0.3">
      <c r="A16" s="118" t="s">
        <v>13</v>
      </c>
      <c r="C16" s="147">
        <v>4.6440000000000001</v>
      </c>
      <c r="D16" s="63"/>
      <c r="E16" s="111">
        <f>5*15.0412*COS((14+23/60+25/3600)*PI()/180)</f>
        <v>72.84643777692655</v>
      </c>
      <c r="G16" s="147">
        <v>5.9409999999999998</v>
      </c>
      <c r="H16" s="63"/>
      <c r="I16" s="111">
        <f>5*15.0412*COS((2+29/60+46/3600)*PI()/180)</f>
        <v>75.134643035500702</v>
      </c>
      <c r="K16" s="147">
        <v>2.3159999999999998</v>
      </c>
      <c r="M16" s="147">
        <v>2.3740000000000001</v>
      </c>
      <c r="N16" s="63"/>
      <c r="O16" s="111">
        <f>5*15.0412*COS((38+47/60+4/3600)*PI()/180)</f>
        <v>58.623682891358705</v>
      </c>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18">
        <v>103.41</v>
      </c>
      <c r="D17" s="63"/>
      <c r="E17" s="63">
        <v>-90</v>
      </c>
      <c r="G17" s="118">
        <v>129.82</v>
      </c>
      <c r="H17" s="63"/>
      <c r="I17" s="63">
        <v>-90</v>
      </c>
      <c r="K17" s="118">
        <v>347.11</v>
      </c>
      <c r="M17" s="118">
        <v>77.55</v>
      </c>
      <c r="N17" s="63"/>
      <c r="O17" s="63">
        <v>-90</v>
      </c>
      <c r="P17" s="63"/>
      <c r="Q17" s="63"/>
      <c r="T17" s="63"/>
      <c r="U17" s="63"/>
      <c r="X17" s="63"/>
      <c r="Y17" s="63"/>
      <c r="AB17" s="63"/>
      <c r="AC17" s="63"/>
      <c r="AF17" s="63"/>
      <c r="AG17" s="63"/>
      <c r="AJ17" s="63"/>
      <c r="AK17" s="63"/>
      <c r="AN17" s="63"/>
      <c r="AO17" s="63"/>
    </row>
    <row r="18" spans="1:41" x14ac:dyDescent="0.3">
      <c r="A18" s="118" t="s">
        <v>32</v>
      </c>
      <c r="B18" s="72">
        <f>-C16*SIN((C17)/180*PI())</f>
        <v>-4.5173832707609831</v>
      </c>
      <c r="C18" s="72">
        <f>C16*COS((C17)/180*PI())</f>
        <v>-1.0770257123433964</v>
      </c>
      <c r="D18" s="72">
        <f>-E16*SIN((E17)/180*PI())</f>
        <v>72.84643777692655</v>
      </c>
      <c r="E18" s="72">
        <f>E16*COS((E17)/180*PI())</f>
        <v>4.4623850343999242E-15</v>
      </c>
      <c r="F18" s="72">
        <f>-G16*SIN((G17)/180*PI())</f>
        <v>-4.563044675984778</v>
      </c>
      <c r="G18" s="72">
        <f>G16*COS((G17)/180*PI())</f>
        <v>-3.8044847594604669</v>
      </c>
      <c r="H18" s="72">
        <f>-I16*SIN((I17)/180*PI())</f>
        <v>75.134643035500702</v>
      </c>
      <c r="I18" s="72">
        <f>I16*COS((I17)/180*PI())</f>
        <v>4.6025545912527196E-15</v>
      </c>
      <c r="J18" s="72">
        <f>-K16*SIN((K17)/180*PI())</f>
        <v>0.51665324453955896</v>
      </c>
      <c r="K18" s="72">
        <f>K16*COS((K17)/180*PI())</f>
        <v>2.2576371331342746</v>
      </c>
      <c r="L18" s="72">
        <f>-M16*SIN((M17)/180*PI())</f>
        <v>-2.3181742375292806</v>
      </c>
      <c r="M18" s="72">
        <f>M16*COS((M17)/180*PI())</f>
        <v>0.51180484997266107</v>
      </c>
      <c r="N18" s="72">
        <f>-O16*SIN((O17)/180*PI())</f>
        <v>58.623682891358705</v>
      </c>
      <c r="O18" s="72">
        <f>O16*COS((O17)/180*PI())</f>
        <v>3.5911357257700507E-15</v>
      </c>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8" customFormat="1" ht="69" customHeight="1" x14ac:dyDescent="0.3">
      <c r="A19" s="251" t="s">
        <v>40</v>
      </c>
      <c r="B19" s="388"/>
      <c r="C19" s="388"/>
      <c r="D19" s="330"/>
      <c r="E19" s="330"/>
      <c r="F19" s="388"/>
      <c r="G19" s="388"/>
      <c r="H19" s="330"/>
      <c r="I19" s="330"/>
      <c r="J19" s="388"/>
      <c r="K19" s="388"/>
      <c r="L19" s="388"/>
      <c r="M19" s="388"/>
      <c r="N19" s="331"/>
      <c r="O19" s="331"/>
      <c r="P19" s="330"/>
      <c r="Q19" s="330"/>
      <c r="R19" s="432"/>
      <c r="S19" s="432"/>
      <c r="T19" s="330"/>
      <c r="U19" s="330"/>
      <c r="V19" s="432"/>
      <c r="W19" s="432"/>
      <c r="X19" s="330"/>
      <c r="Y19" s="330"/>
      <c r="Z19" s="388"/>
      <c r="AA19" s="388"/>
      <c r="AB19" s="330"/>
      <c r="AC19" s="330"/>
      <c r="AD19" s="388"/>
      <c r="AE19" s="388"/>
      <c r="AF19" s="330"/>
      <c r="AG19" s="330"/>
      <c r="AH19" s="388"/>
      <c r="AI19" s="388"/>
      <c r="AJ19" s="330"/>
      <c r="AK19" s="330"/>
      <c r="AL19" s="388"/>
      <c r="AM19" s="388"/>
      <c r="AN19" s="330"/>
      <c r="AO19" s="330"/>
    </row>
    <row r="20" spans="1:41" s="127" customFormat="1" x14ac:dyDescent="0.3">
      <c r="A20" s="252" t="s">
        <v>38</v>
      </c>
      <c r="D20" s="67"/>
      <c r="E20" s="67"/>
      <c r="H20" s="67"/>
      <c r="I20" s="67"/>
      <c r="N20" s="67"/>
      <c r="O20" s="67"/>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0.1464542252414284</v>
      </c>
      <c r="D21" s="63"/>
      <c r="E21" s="118">
        <f>E16/E8</f>
        <v>0.14744309197069794</v>
      </c>
      <c r="G21" s="118">
        <f>G16/G8</f>
        <v>0.14689887929713524</v>
      </c>
      <c r="H21" s="63"/>
      <c r="I21" s="118">
        <f>I16/I8</f>
        <v>0.14393504130703164</v>
      </c>
      <c r="K21" s="118">
        <f>K16/K8</f>
        <v>0.15017460195519974</v>
      </c>
      <c r="M21" s="118">
        <f>M16/M8</f>
        <v>0.15943890061179347</v>
      </c>
      <c r="N21" s="63"/>
      <c r="O21" s="118">
        <f>O16/O8</f>
        <v>0.14368161320858541</v>
      </c>
      <c r="P21" s="63"/>
      <c r="T21" s="63"/>
      <c r="X21" s="63"/>
      <c r="AB21" s="63"/>
      <c r="AF21" s="63"/>
      <c r="AJ21" s="63"/>
      <c r="AN21" s="63"/>
    </row>
    <row r="22" spans="1:41" x14ac:dyDescent="0.3">
      <c r="A22" s="118" t="s">
        <v>34</v>
      </c>
      <c r="C22" s="129"/>
      <c r="D22" s="63"/>
      <c r="E22" s="63"/>
      <c r="G22" s="129"/>
      <c r="H22" s="63"/>
      <c r="I22" s="63"/>
      <c r="K22" s="129"/>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0.1464542252414284</v>
      </c>
      <c r="D23" s="63"/>
      <c r="E23" s="118">
        <f>E21-$C22</f>
        <v>0.14744309197069794</v>
      </c>
      <c r="G23" s="118">
        <f>G21-$C22</f>
        <v>0.14689887929713524</v>
      </c>
      <c r="H23" s="63"/>
      <c r="I23" s="118">
        <f>I21-$C22</f>
        <v>0.14393504130703164</v>
      </c>
      <c r="K23" s="118">
        <f>K21-$C22</f>
        <v>0.15017460195519974</v>
      </c>
      <c r="M23" s="118">
        <f>M21-$C22</f>
        <v>0.15943890061179347</v>
      </c>
      <c r="N23" s="63"/>
      <c r="O23" s="118">
        <f>O21-$C22</f>
        <v>0.14368161320858541</v>
      </c>
      <c r="P23" s="63"/>
      <c r="T23" s="63"/>
      <c r="X23" s="63"/>
      <c r="AB23" s="63"/>
      <c r="AF23" s="63"/>
      <c r="AJ23" s="63"/>
      <c r="AN23" s="63"/>
    </row>
    <row r="24" spans="1:41" x14ac:dyDescent="0.3">
      <c r="A24" s="139" t="s">
        <v>64</v>
      </c>
      <c r="C24" s="74">
        <f>MOD(C9-C17,360)</f>
        <v>90.414575088399374</v>
      </c>
      <c r="D24" s="63"/>
      <c r="E24" s="74">
        <f>MOD(E9-E17,360)</f>
        <v>89.072214225538346</v>
      </c>
      <c r="G24" s="74">
        <f>MOD(G9-G17,360)</f>
        <v>89.823769766176611</v>
      </c>
      <c r="H24" s="63"/>
      <c r="I24" s="74">
        <f>MOD(I9-I17,360)</f>
        <v>90.21952298525963</v>
      </c>
      <c r="K24" s="74">
        <f>MOD(K9-K17,360)</f>
        <v>88.084223912315338</v>
      </c>
      <c r="M24" s="74">
        <f>MOD(M9-M17,360)</f>
        <v>90.260103012176856</v>
      </c>
      <c r="N24" s="63"/>
      <c r="O24" s="74">
        <f>MOD(O9-O17,360)</f>
        <v>89.578715095831399</v>
      </c>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H25" s="63"/>
      <c r="I25" s="63"/>
      <c r="N25" s="63"/>
      <c r="O25" s="63"/>
      <c r="P25" s="63"/>
      <c r="Q25" s="63"/>
      <c r="T25" s="63"/>
      <c r="U25" s="63"/>
      <c r="X25" s="63"/>
      <c r="Y25" s="63"/>
      <c r="AB25" s="63"/>
      <c r="AC25" s="63"/>
      <c r="AF25" s="63"/>
      <c r="AG25" s="63"/>
      <c r="AJ25" s="63"/>
      <c r="AK25" s="63"/>
      <c r="AN25" s="63"/>
      <c r="AO25" s="63"/>
    </row>
    <row r="26" spans="1:41" x14ac:dyDescent="0.3">
      <c r="A26" s="118" t="s">
        <v>35</v>
      </c>
      <c r="C26" s="118">
        <f>C24-$C25</f>
        <v>90.414575088399374</v>
      </c>
      <c r="D26" s="63"/>
      <c r="E26" s="118">
        <f>E24-$C25</f>
        <v>89.072214225538346</v>
      </c>
      <c r="G26" s="118">
        <f>G24-$C25</f>
        <v>89.823769766176611</v>
      </c>
      <c r="H26" s="63"/>
      <c r="I26" s="118">
        <f>I24-$C25</f>
        <v>90.21952298525963</v>
      </c>
      <c r="K26" s="118">
        <f>K24-$C25</f>
        <v>88.084223912315338</v>
      </c>
      <c r="M26" s="118">
        <f>M24-$C25</f>
        <v>90.260103012176856</v>
      </c>
      <c r="N26" s="63"/>
      <c r="O26" s="118">
        <f>O24-$C25</f>
        <v>89.578715095831399</v>
      </c>
      <c r="P26" s="63"/>
      <c r="T26" s="63"/>
      <c r="X26" s="63"/>
      <c r="AB26" s="63"/>
      <c r="AF26" s="63"/>
      <c r="AJ26" s="63"/>
      <c r="AN26" s="63"/>
    </row>
    <row r="27" spans="1:41" x14ac:dyDescent="0.3">
      <c r="A27" s="118" t="s">
        <v>67</v>
      </c>
      <c r="C27" s="118">
        <f>SQRT(C16)</f>
        <v>2.1549941995281565</v>
      </c>
      <c r="D27" s="63"/>
      <c r="E27" s="63">
        <f>SQRT(E16)</f>
        <v>8.5350124649543755</v>
      </c>
      <c r="G27" s="118">
        <f>SQRT(G16)</f>
        <v>2.4374166652421163</v>
      </c>
      <c r="H27" s="63"/>
      <c r="I27" s="63">
        <f>SQRT(I16)</f>
        <v>8.6680241713726609</v>
      </c>
      <c r="K27" s="118">
        <f>SQRT(K16)</f>
        <v>1.5218409903797439</v>
      </c>
      <c r="M27" s="118">
        <f>SQRT(M16)</f>
        <v>1.5407790237409127</v>
      </c>
      <c r="N27" s="63"/>
      <c r="O27" s="63">
        <f>SQRT(O16)</f>
        <v>7.6566104048305021</v>
      </c>
      <c r="P27" s="63"/>
      <c r="Q27" s="63"/>
      <c r="T27" s="63"/>
      <c r="U27" s="63"/>
      <c r="X27" s="63"/>
      <c r="Y27" s="63"/>
      <c r="AB27" s="63"/>
      <c r="AC27" s="63"/>
      <c r="AF27" s="63"/>
      <c r="AG27" s="63"/>
      <c r="AJ27" s="63"/>
      <c r="AK27" s="63"/>
      <c r="AN27" s="63"/>
      <c r="AO27" s="63"/>
    </row>
    <row r="28" spans="1:41" x14ac:dyDescent="0.3">
      <c r="A28" s="129" t="s">
        <v>68</v>
      </c>
      <c r="C28" s="118">
        <f>C27*C21</f>
        <v>0.31560800589166832</v>
      </c>
      <c r="D28" s="63"/>
      <c r="E28" s="118">
        <f>E27*E21</f>
        <v>1.2584286278413213</v>
      </c>
      <c r="G28" s="118">
        <f>G27*G21</f>
        <v>0.35805377650422754</v>
      </c>
      <c r="H28" s="63"/>
      <c r="I28" s="118">
        <f>I27*I21</f>
        <v>1.2476324171568727</v>
      </c>
      <c r="K28" s="118">
        <f>K27*K21</f>
        <v>0.228541864969385</v>
      </c>
      <c r="M28" s="118">
        <f>M27*M21</f>
        <v>0.24566011363096354</v>
      </c>
      <c r="N28" s="63"/>
      <c r="O28" s="118">
        <f>O27*O21</f>
        <v>1.1001141346756869</v>
      </c>
      <c r="P28" s="63"/>
      <c r="T28" s="63"/>
      <c r="X28" s="63"/>
      <c r="AB28" s="63"/>
      <c r="AF28" s="63"/>
      <c r="AJ28" s="63"/>
      <c r="AN28" s="63"/>
    </row>
    <row r="29" spans="1:41" x14ac:dyDescent="0.3">
      <c r="A29" s="139" t="s">
        <v>69</v>
      </c>
      <c r="B29" s="118" t="s">
        <v>357</v>
      </c>
      <c r="C29" s="139">
        <f>SUM(B28:O28)/SUM(B27:O27)</f>
        <v>0.1462120877334232</v>
      </c>
      <c r="D29" s="63"/>
      <c r="E29" s="63"/>
      <c r="F29" s="118" t="s">
        <v>357</v>
      </c>
      <c r="G29" s="139">
        <f>SUM(F28:I28)/SUM(F27:I27)</f>
        <v>0.14458554300403212</v>
      </c>
      <c r="H29" s="63"/>
      <c r="I29" s="63"/>
      <c r="J29" s="118" t="s">
        <v>357</v>
      </c>
      <c r="K29" s="139">
        <f>SUM(J28:Q28)/SUM(J27:Q27)</f>
        <v>0.14686838996321125</v>
      </c>
      <c r="L29" s="118" t="s">
        <v>357</v>
      </c>
      <c r="M29" s="139">
        <f>SUM(L28:S28)/SUM(L27:S27)</f>
        <v>0.14632132941180495</v>
      </c>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3.8371930803784326E-4</v>
      </c>
      <c r="C30" s="139">
        <f>C21-$C$29</f>
        <v>2.4213750800519684E-4</v>
      </c>
      <c r="D30" s="63"/>
      <c r="E30" s="139">
        <f>E21-$C29</f>
        <v>1.2310042372747354E-3</v>
      </c>
      <c r="F30" s="118">
        <f>SQRT(SUMSQ(G30:I30)/SUM(G27:I27))</f>
        <v>7.1369182015143648E-4</v>
      </c>
      <c r="G30" s="139">
        <f>G21-$C$29</f>
        <v>6.8679156371204142E-4</v>
      </c>
      <c r="H30" s="63"/>
      <c r="I30" s="139">
        <f>I21-$C29</f>
        <v>-2.2770464263915657E-3</v>
      </c>
      <c r="J30" s="118">
        <f>SQRT(SUMSQ(K30:M30)/SUM(K27:M27))</f>
        <v>8.2878738113279539E-3</v>
      </c>
      <c r="K30" s="139">
        <f>K21-$C$29</f>
        <v>3.9625142217765419E-3</v>
      </c>
      <c r="L30" s="118">
        <f>SQRT(SUMSQ(M30:O30)/SUM(M27:O27))</f>
        <v>4.4404679890777789E-3</v>
      </c>
      <c r="M30" s="139">
        <f>M21-$C$29</f>
        <v>1.322681287837027E-2</v>
      </c>
      <c r="N30" s="63"/>
      <c r="O30" s="139">
        <f>O21-$C29</f>
        <v>-2.5304745248377891E-3</v>
      </c>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194.8428848683036</v>
      </c>
      <c r="D31" s="63"/>
      <c r="E31" s="63">
        <f>E27*E24</f>
        <v>760.23245869605626</v>
      </c>
      <c r="G31" s="118">
        <f>G27*G24</f>
        <v>218.93795336294983</v>
      </c>
      <c r="H31" s="63"/>
      <c r="I31" s="63">
        <f>I27*I24</f>
        <v>782.02500596594189</v>
      </c>
      <c r="K31" s="118">
        <f>K27*K24</f>
        <v>134.0501825555491</v>
      </c>
      <c r="M31" s="118">
        <f>M27*M24</f>
        <v>139.07087340185606</v>
      </c>
      <c r="N31" s="63"/>
      <c r="O31" s="63">
        <f>O27*O24</f>
        <v>685.86932205408982</v>
      </c>
      <c r="P31" s="63"/>
      <c r="Q31" s="63"/>
      <c r="T31" s="63"/>
      <c r="U31" s="63"/>
      <c r="X31" s="63"/>
      <c r="Y31" s="63"/>
      <c r="AB31" s="63"/>
      <c r="AC31" s="63"/>
      <c r="AF31" s="63"/>
      <c r="AG31" s="63"/>
      <c r="AJ31" s="63"/>
      <c r="AK31" s="63"/>
      <c r="AN31" s="63"/>
      <c r="AO31" s="63"/>
    </row>
    <row r="32" spans="1:41" x14ac:dyDescent="0.3">
      <c r="A32" s="261" t="s">
        <v>120</v>
      </c>
      <c r="C32" s="139">
        <f>MOD(SUM(B31:O31)/SUM(B27:O27),360)</f>
        <v>89.652700484151097</v>
      </c>
      <c r="D32" s="63"/>
      <c r="E32" s="63"/>
      <c r="G32" s="139">
        <f>MOD(SUM(F31:I31)/SUM(F27:I27),360)</f>
        <v>90.132663264361753</v>
      </c>
      <c r="H32" s="63"/>
      <c r="I32" s="63"/>
      <c r="K32" s="139">
        <f>MOD(SUM(J31:Q31)/SUM(J27:Q27),360)</f>
        <v>89.464480240674675</v>
      </c>
      <c r="M32" s="139">
        <f>MOD(SUM(L31:S31)/SUM(L27:S27),360)</f>
        <v>89.692863595977997</v>
      </c>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0.29295064141578542</v>
      </c>
      <c r="C33" s="139">
        <f>C24-$C$32</f>
        <v>0.76187460424827691</v>
      </c>
      <c r="D33" s="63"/>
      <c r="E33" s="139">
        <f>E24-$C$32</f>
        <v>-0.58048625861275127</v>
      </c>
      <c r="F33" s="118">
        <f>SQRT(SUMSQ(G33:I33)/SUM(G27:I27))</f>
        <v>0.17766774905367233</v>
      </c>
      <c r="G33" s="139">
        <f>G24-$C$32</f>
        <v>0.1710692820255133</v>
      </c>
      <c r="H33" s="63"/>
      <c r="I33" s="139">
        <f>I24-$C$32</f>
        <v>0.56682250110853261</v>
      </c>
      <c r="J33" s="118">
        <f>SQRT(SUMSQ(K33:M33)/SUM(K27:M27))</f>
        <v>0.96800280022323093</v>
      </c>
      <c r="K33" s="139">
        <f>K24-$C$32</f>
        <v>-1.5684765718357596</v>
      </c>
      <c r="L33" s="118">
        <f>SQRT(SUMSQ(M33:O33)/SUM(M27:O27))</f>
        <v>0.20176340565085185</v>
      </c>
      <c r="M33" s="139">
        <f>M24-$C$32</f>
        <v>0.60740252802575867</v>
      </c>
      <c r="N33" s="63"/>
      <c r="O33" s="139">
        <f>O24-$C$32</f>
        <v>-7.3985388319698586E-2</v>
      </c>
      <c r="P33" s="63"/>
      <c r="Q33" s="139"/>
      <c r="S33" s="317"/>
      <c r="T33" s="63"/>
      <c r="U33" s="139"/>
      <c r="W33" s="317"/>
      <c r="X33" s="63"/>
      <c r="Y33" s="139"/>
      <c r="AA33" s="139"/>
      <c r="AB33" s="63"/>
      <c r="AC33" s="139"/>
      <c r="AE33" s="139"/>
      <c r="AF33" s="63"/>
      <c r="AG33" s="139"/>
      <c r="AI33" s="139"/>
      <c r="AJ33" s="63"/>
      <c r="AK33" s="139"/>
      <c r="AM33" s="139"/>
      <c r="AN33" s="63"/>
      <c r="AO33" s="139"/>
    </row>
    <row r="34" spans="1:41" s="328" customFormat="1" ht="75.75" customHeight="1" x14ac:dyDescent="0.3">
      <c r="A34" s="251" t="s">
        <v>40</v>
      </c>
      <c r="B34" s="384"/>
      <c r="C34" s="384"/>
      <c r="D34" s="330"/>
      <c r="E34" s="330"/>
      <c r="F34" s="384"/>
      <c r="G34" s="384"/>
      <c r="H34" s="330"/>
      <c r="I34" s="330"/>
      <c r="J34" s="384"/>
      <c r="K34" s="384"/>
      <c r="L34" s="384"/>
      <c r="M34" s="384"/>
      <c r="N34" s="331"/>
      <c r="O34" s="331"/>
      <c r="P34" s="330"/>
      <c r="Q34" s="330"/>
      <c r="R34" s="433"/>
      <c r="S34" s="433"/>
      <c r="T34" s="330"/>
      <c r="U34" s="330"/>
      <c r="V34" s="433"/>
      <c r="W34" s="433"/>
      <c r="X34" s="330"/>
      <c r="Y34" s="330"/>
      <c r="Z34" s="384"/>
      <c r="AA34" s="384"/>
      <c r="AB34" s="330"/>
      <c r="AC34" s="330"/>
      <c r="AD34" s="384"/>
      <c r="AE34" s="384"/>
      <c r="AF34" s="330"/>
      <c r="AG34" s="330"/>
      <c r="AH34" s="384"/>
      <c r="AI34" s="384"/>
      <c r="AJ34" s="330"/>
      <c r="AK34" s="330"/>
      <c r="AL34" s="384"/>
      <c r="AM34" s="384"/>
      <c r="AN34" s="330"/>
      <c r="AO34" s="330"/>
    </row>
    <row r="35" spans="1:41" s="127" customFormat="1" x14ac:dyDescent="0.3">
      <c r="A35" s="120" t="s">
        <v>54</v>
      </c>
      <c r="B35" s="120"/>
      <c r="C35" s="120"/>
      <c r="D35" s="67"/>
      <c r="E35" s="67"/>
      <c r="F35" s="120"/>
      <c r="G35" s="120"/>
      <c r="H35" s="67"/>
      <c r="I35" s="67"/>
      <c r="J35" s="120"/>
      <c r="K35" s="120"/>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4.6363219245786702</v>
      </c>
      <c r="D36" s="63" t="e">
        <f>A36*#REF!/A29</f>
        <v>#VALUE!</v>
      </c>
      <c r="E36" s="63" t="s">
        <v>358</v>
      </c>
      <c r="G36" s="147">
        <f>G8*$C29</f>
        <v>5.9132242354772488</v>
      </c>
      <c r="H36" s="63" t="e">
        <f>E36*#REF!/E29</f>
        <v>#VALUE!</v>
      </c>
      <c r="I36" s="63" t="s">
        <v>358</v>
      </c>
      <c r="K36" s="147">
        <f>K8*$C29</f>
        <v>2.2548899133531761</v>
      </c>
      <c r="M36" s="147">
        <f>M8*$C29</f>
        <v>2.1770565084633535</v>
      </c>
      <c r="N36" s="63" t="e">
        <f>K36*#REF!/K29</f>
        <v>#REF!</v>
      </c>
      <c r="O36" s="63" t="s">
        <v>358</v>
      </c>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-7.6780754213299218E-3</v>
      </c>
      <c r="D37" s="63"/>
      <c r="E37" s="63"/>
      <c r="G37" s="141">
        <f>G36-G16</f>
        <v>-2.777576452275099E-2</v>
      </c>
      <c r="H37" s="63"/>
      <c r="I37" s="63"/>
      <c r="K37" s="141">
        <f>K36-K16</f>
        <v>-6.1110086646823714E-2</v>
      </c>
      <c r="M37" s="141">
        <f>M36-M16</f>
        <v>-0.19694349153664659</v>
      </c>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-1.6533323474009305E-3</v>
      </c>
      <c r="D38" s="63"/>
      <c r="E38" s="63"/>
      <c r="G38" s="142">
        <f>G37/G16</f>
        <v>-4.6752675513804061E-3</v>
      </c>
      <c r="H38" s="63"/>
      <c r="I38" s="63"/>
      <c r="K38" s="142">
        <f>K37/K16</f>
        <v>-2.6386047774967062E-2</v>
      </c>
      <c r="M38" s="142">
        <f>M37/M16</f>
        <v>-8.2958505280811529E-2</v>
      </c>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-7.6780754213299218E-3</v>
      </c>
      <c r="C39" s="142">
        <f>AVERAGE(C38:C38)</f>
        <v>-1.6533323474009305E-3</v>
      </c>
      <c r="D39" s="63"/>
      <c r="E39" s="63"/>
      <c r="F39" s="118">
        <f>AVERAGE(F37:G37)</f>
        <v>-2.777576452275099E-2</v>
      </c>
      <c r="G39" s="142">
        <f>AVERAGE(G38:G38)</f>
        <v>-4.6752675513804061E-3</v>
      </c>
      <c r="H39" s="63"/>
      <c r="I39" s="63"/>
      <c r="J39" s="118">
        <f>AVERAGE(J37:K37)</f>
        <v>-6.1110086646823714E-2</v>
      </c>
      <c r="K39" s="142">
        <f>AVERAGE(K38:K38)</f>
        <v>-2.6386047774967062E-2</v>
      </c>
      <c r="L39" s="118">
        <f>AVERAGE(L37:M37)</f>
        <v>-0.19694349153664659</v>
      </c>
      <c r="M39" s="142">
        <f>AVERAGE(M38:M38)</f>
        <v>-8.2958505280811529E-2</v>
      </c>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118" t="e">
        <f>STDEV(L37:M37)</f>
        <v>#DIV/0!</v>
      </c>
      <c r="M40" s="142" t="e">
        <f>STDEV(M38:M38)</f>
        <v>#DIV/0!</v>
      </c>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H41" s="63"/>
      <c r="I41" s="63"/>
      <c r="K41" s="142"/>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104.17187460424827</v>
      </c>
      <c r="D42" s="63" t="e">
        <f>#REF!</f>
        <v>#REF!</v>
      </c>
      <c r="E42" s="141" t="s">
        <v>358</v>
      </c>
      <c r="G42" s="141">
        <f>MOD(G9-$C32,360)</f>
        <v>129.99106928202551</v>
      </c>
      <c r="H42" s="63" t="e">
        <f>#REF!</f>
        <v>#REF!</v>
      </c>
      <c r="I42" s="141" t="s">
        <v>358</v>
      </c>
      <c r="K42" s="141">
        <f>MOD(K9-$C32,360)</f>
        <v>345.54152342816428</v>
      </c>
      <c r="M42" s="141">
        <f>MOD(M9-$C32,360)</f>
        <v>78.157402528025756</v>
      </c>
      <c r="N42" s="63" t="e">
        <f>#REF!</f>
        <v>#REF!</v>
      </c>
      <c r="O42" s="141" t="s">
        <v>358</v>
      </c>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0.76187460424827691</v>
      </c>
      <c r="E43" s="141"/>
      <c r="G43" s="141">
        <f>G42-G17</f>
        <v>0.1710692820255133</v>
      </c>
      <c r="I43" s="141"/>
      <c r="K43" s="141">
        <f>K42-K17</f>
        <v>-1.5684765718357312</v>
      </c>
      <c r="M43" s="141">
        <f>M42-M17</f>
        <v>0.60740252802575867</v>
      </c>
      <c r="O43" s="141"/>
      <c r="Q43" s="141"/>
      <c r="S43" s="318"/>
      <c r="U43" s="141"/>
      <c r="W43" s="318"/>
      <c r="Y43" s="141"/>
      <c r="AA43" s="141"/>
      <c r="AC43" s="141"/>
      <c r="AE43" s="141"/>
      <c r="AG43" s="141"/>
      <c r="AI43" s="141"/>
      <c r="AK43" s="141"/>
      <c r="AM43" s="141"/>
      <c r="AO43" s="141"/>
    </row>
    <row r="44" spans="1:41" x14ac:dyDescent="0.3">
      <c r="A44" s="118" t="s">
        <v>56</v>
      </c>
      <c r="B44" s="118">
        <f>AVERAGE(B43:C43)</f>
        <v>0.76187460424827691</v>
      </c>
      <c r="C44" s="141"/>
      <c r="E44" s="141"/>
      <c r="F44" s="118">
        <f>AVERAGE(F43:G43)</f>
        <v>0.1710692820255133</v>
      </c>
      <c r="G44" s="141"/>
      <c r="I44" s="141"/>
      <c r="J44" s="118">
        <f>AVERAGE(J43:K43)</f>
        <v>-1.5684765718357312</v>
      </c>
      <c r="K44" s="141"/>
      <c r="L44" s="118">
        <f>AVERAGE(L43:M43)</f>
        <v>0.60740252802575867</v>
      </c>
      <c r="M44" s="141"/>
      <c r="O44" s="141"/>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I45" s="141"/>
      <c r="J45" s="118" t="e">
        <f>STDEV(J43:K43)</f>
        <v>#DIV/0!</v>
      </c>
      <c r="K45" s="141"/>
      <c r="L45" s="118" t="e">
        <f>STDEV(L43:M43)</f>
        <v>#DIV/0!</v>
      </c>
      <c r="M45" s="141"/>
      <c r="O45" s="141"/>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
      <c r="A47" s="118" t="s">
        <v>44</v>
      </c>
      <c r="B47" s="72">
        <f>-C36*SIN((C42)/180*PI())</f>
        <v>-4.495218479326013</v>
      </c>
      <c r="C47" s="72">
        <f>C36*COS((C42)/180*PI())</f>
        <v>-1.1351175320004501</v>
      </c>
      <c r="D47" s="72"/>
      <c r="E47" s="72"/>
      <c r="F47" s="72">
        <f>-G36*SIN((G42)/180*PI())</f>
        <v>-4.5303849667723375</v>
      </c>
      <c r="G47" s="72">
        <f>G36*COS((G42)/180*PI())</f>
        <v>-3.800241164962916</v>
      </c>
      <c r="H47" s="72"/>
      <c r="I47" s="72"/>
      <c r="J47" s="72">
        <f>-K36*SIN((K42)/180*PI())</f>
        <v>0.56299708450276365</v>
      </c>
      <c r="K47" s="72">
        <f>K36*COS((K42)/180*PI())</f>
        <v>2.1834749378418068</v>
      </c>
      <c r="L47" s="72">
        <f>-M36*SIN((M42)/180*PI())</f>
        <v>-2.1307180399724062</v>
      </c>
      <c r="M47" s="72">
        <f>M36*COS((M42)/180*PI())</f>
        <v>0.4467837006637505</v>
      </c>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2.2164791434970077E-2</v>
      </c>
      <c r="C48" s="72">
        <f>C47-C18</f>
        <v>-5.8091819657053678E-2</v>
      </c>
      <c r="D48" s="72"/>
      <c r="E48" s="72"/>
      <c r="F48" s="72">
        <f>F47-F18</f>
        <v>3.2659709212440546E-2</v>
      </c>
      <c r="G48" s="72">
        <f>G47-G18</f>
        <v>4.2435944975509621E-3</v>
      </c>
      <c r="H48" s="72"/>
      <c r="I48" s="72"/>
      <c r="J48" s="72">
        <f>J47-J18</f>
        <v>4.634383996320468E-2</v>
      </c>
      <c r="K48" s="72">
        <f>K47-K18</f>
        <v>-7.4162195292467814E-2</v>
      </c>
      <c r="L48" s="72">
        <f>L47-L18</f>
        <v>0.18745619755687448</v>
      </c>
      <c r="M48" s="72">
        <f>M47-M18</f>
        <v>-6.5021149308910564E-2</v>
      </c>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4.9127797935572285E-4</v>
      </c>
      <c r="C49" s="118">
        <f>C48^2</f>
        <v>3.3746595110676482E-3</v>
      </c>
      <c r="F49" s="118">
        <f>F48^2</f>
        <v>1.0666566058411739E-3</v>
      </c>
      <c r="G49" s="118">
        <f>G48^2</f>
        <v>1.8008094259644802E-5</v>
      </c>
      <c r="J49" s="118">
        <f>J48^2</f>
        <v>2.1477515025351271E-3</v>
      </c>
      <c r="K49" s="118">
        <f>K48^2</f>
        <v>5.5000312105981351E-3</v>
      </c>
      <c r="L49" s="118">
        <f>L48^2</f>
        <v>3.5139826002481951E-2</v>
      </c>
      <c r="M49" s="118">
        <f>M48^2</f>
        <v>4.2277498574516403E-3</v>
      </c>
    </row>
    <row r="50" spans="1:41" s="129" customFormat="1" x14ac:dyDescent="0.3">
      <c r="A50" s="118" t="s">
        <v>47</v>
      </c>
      <c r="B50" s="72"/>
      <c r="C50" s="72">
        <f>SQRT(B49+C49)</f>
        <v>6.2176663551716659E-2</v>
      </c>
      <c r="D50" s="72"/>
      <c r="E50" s="72"/>
      <c r="F50" s="72"/>
      <c r="G50" s="72">
        <f>SQRT(F49+G49)</f>
        <v>3.2934248133224764E-2</v>
      </c>
      <c r="H50" s="72"/>
      <c r="I50" s="72"/>
      <c r="J50" s="72"/>
      <c r="K50" s="72">
        <f>SQRT(J49+K49)</f>
        <v>8.7451602118733429E-2</v>
      </c>
      <c r="L50" s="72"/>
      <c r="M50" s="72">
        <f>SQRT(L49+M49)</f>
        <v>0.19841264037337336</v>
      </c>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1.34107735750828E-2</v>
      </c>
      <c r="D51" s="72"/>
      <c r="E51" s="77"/>
      <c r="F51" s="72"/>
      <c r="G51" s="77">
        <f>G50/G36</f>
        <v>5.5695922937660557E-3</v>
      </c>
      <c r="H51" s="72"/>
      <c r="I51" s="77"/>
      <c r="J51" s="72"/>
      <c r="K51" s="77">
        <f>K50/K36</f>
        <v>3.8783091627159261E-2</v>
      </c>
      <c r="L51" s="72"/>
      <c r="M51" s="77">
        <f>M50/M36</f>
        <v>9.1138029537607315E-2</v>
      </c>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6.2176663551716659E-2</v>
      </c>
      <c r="C53" s="144"/>
      <c r="D53" s="72"/>
      <c r="E53" s="144"/>
      <c r="F53" s="72">
        <f>MEDIAN(F50:G50)</f>
        <v>3.2934248133224764E-2</v>
      </c>
      <c r="G53" s="144"/>
      <c r="H53" s="72"/>
      <c r="I53" s="144"/>
      <c r="J53" s="72">
        <f>MEDIAN(J50:K50)</f>
        <v>8.7451602118733429E-2</v>
      </c>
      <c r="K53" s="144"/>
      <c r="L53" s="72">
        <f>MEDIAN(L50:M50)</f>
        <v>0.19841264037337336</v>
      </c>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6.2176663551716659E-2</v>
      </c>
      <c r="C54" s="144"/>
      <c r="D54" s="72"/>
      <c r="E54" s="144"/>
      <c r="F54" s="72">
        <f>AVERAGE(F50:G50)</f>
        <v>3.2934248133224764E-2</v>
      </c>
      <c r="G54" s="144"/>
      <c r="H54" s="72"/>
      <c r="I54" s="144"/>
      <c r="J54" s="72">
        <f>AVERAGE(J50:K50)</f>
        <v>8.7451602118733429E-2</v>
      </c>
      <c r="K54" s="144"/>
      <c r="L54" s="72">
        <f>AVERAGE(L50:M50)</f>
        <v>0.19841264037337336</v>
      </c>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c r="I55" s="144"/>
      <c r="J55" s="72" t="e">
        <f>STDEV(J50:K50)</f>
        <v>#DIV/0!</v>
      </c>
      <c r="K55" s="144"/>
      <c r="L55" s="72" t="e">
        <f>STDEV(L50:M50)</f>
        <v>#DIV/0!</v>
      </c>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144"/>
      <c r="I56" s="144"/>
      <c r="J56" s="72"/>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5.2747730800279591</v>
      </c>
      <c r="C59" s="141">
        <f>AVERAGE(C37:I37)</f>
        <v>-1.7726919972040456E-2</v>
      </c>
      <c r="D59" s="302">
        <f>AVERAGE(C38:I38)</f>
        <v>-3.1642999493906683E-3</v>
      </c>
      <c r="F59" s="166">
        <f>AVERAGE(G36,K36)</f>
        <v>4.0840570744152123</v>
      </c>
      <c r="G59" s="141">
        <f>AVERAGE(G37:M37)</f>
        <v>-9.527644756874043E-2</v>
      </c>
      <c r="H59" s="302"/>
      <c r="J59" s="166">
        <f>AVERAGE(K36,O36)</f>
        <v>2.2548899133531761</v>
      </c>
      <c r="K59" s="141">
        <f>AVERAGE(K37:Q37)</f>
        <v>-0.12902678909173515</v>
      </c>
      <c r="L59" s="166">
        <f>AVERAGE(M36,Q36)</f>
        <v>2.1770565084633535</v>
      </c>
      <c r="M59" s="141">
        <f>AVERAGE(M37:S37)</f>
        <v>-0.19694349153664659</v>
      </c>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0.90290628294916209</v>
      </c>
      <c r="C60" s="118">
        <f>STDEV(C37:I37)</f>
        <v>1.421121224979381E-2</v>
      </c>
      <c r="D60" s="118">
        <f>STDEV(C38:I38)</f>
        <v>2.1368308750402405E-3</v>
      </c>
      <c r="F60" s="166">
        <f>STDEV(G36,K36)</f>
        <v>2.5868330070214247</v>
      </c>
      <c r="G60" s="118">
        <f>STDEV(G37:M37)</f>
        <v>8.960990531044534E-2</v>
      </c>
      <c r="J60" s="166" t="e">
        <f>STDEV(K36,O36)</f>
        <v>#DIV/0!</v>
      </c>
      <c r="K60" s="118">
        <f>STDEV(K37:Q37)</f>
        <v>9.6048721709251716E-2</v>
      </c>
      <c r="L60" s="166" t="e">
        <f>STDEV(M36,Q36)</f>
        <v>#DIV/0!</v>
      </c>
      <c r="M60" s="118" t="e">
        <f>STDEV(M37:S37)</f>
        <v>#DIV/0!</v>
      </c>
      <c r="R60" s="321"/>
      <c r="V60" s="321"/>
      <c r="Z60" s="166"/>
      <c r="AD60" s="166"/>
      <c r="AH60" s="166"/>
      <c r="AL60" s="166"/>
    </row>
    <row r="61" spans="1:41" x14ac:dyDescent="0.3">
      <c r="A61" s="129" t="s">
        <v>117</v>
      </c>
      <c r="B61" s="166">
        <f>AVERAGE(C42,G42)</f>
        <v>117.08147194313689</v>
      </c>
      <c r="F61" s="166">
        <f>AVERAGE(G42,K42)</f>
        <v>237.76629635509488</v>
      </c>
      <c r="J61" s="166">
        <f>AVERAGE(K42,O42)</f>
        <v>345.54152342816428</v>
      </c>
      <c r="L61" s="166">
        <f>AVERAGE(M42,Q42)</f>
        <v>78.157402528025756</v>
      </c>
      <c r="R61" s="321"/>
      <c r="V61" s="321"/>
      <c r="Z61" s="166"/>
      <c r="AD61" s="167"/>
      <c r="AH61" s="166"/>
      <c r="AL61" s="166"/>
    </row>
    <row r="62" spans="1:41" x14ac:dyDescent="0.3">
      <c r="A62" s="129" t="s">
        <v>118</v>
      </c>
      <c r="B62" s="166">
        <f>STDEV(C42,G42)</f>
        <v>18.256927641431879</v>
      </c>
      <c r="F62" s="166">
        <f>STDEV(G42,K42)</f>
        <v>152.41718781457476</v>
      </c>
      <c r="J62" s="166" t="e">
        <f>STDEV(K42,O42)</f>
        <v>#DIV/0!</v>
      </c>
      <c r="L62" s="166" t="e">
        <f>STDEV(M42,Q42)</f>
        <v>#DIV/0!</v>
      </c>
      <c r="R62" s="321"/>
      <c r="V62" s="321"/>
      <c r="Z62" s="166"/>
      <c r="AD62" s="166"/>
      <c r="AH62" s="166"/>
      <c r="AL62" s="166"/>
    </row>
  </sheetData>
  <mergeCells count="37">
    <mergeCell ref="AH34:AI34"/>
    <mergeCell ref="AL34:AM34"/>
    <mergeCell ref="AH19:AI19"/>
    <mergeCell ref="AL19:AM19"/>
    <mergeCell ref="B34:C34"/>
    <mergeCell ref="F34:G34"/>
    <mergeCell ref="J34:K34"/>
    <mergeCell ref="R34:S34"/>
    <mergeCell ref="B19:C19"/>
    <mergeCell ref="F19:G19"/>
    <mergeCell ref="J19:K19"/>
    <mergeCell ref="R19:S19"/>
    <mergeCell ref="L19:M19"/>
    <mergeCell ref="L34:M34"/>
    <mergeCell ref="V19:W19"/>
    <mergeCell ref="Z19:AA19"/>
    <mergeCell ref="AD19:AE19"/>
    <mergeCell ref="V34:W34"/>
    <mergeCell ref="Z10:AA10"/>
    <mergeCell ref="AB10:AC10"/>
    <mergeCell ref="AD10:AE10"/>
    <mergeCell ref="Z34:AA34"/>
    <mergeCell ref="AD34:AE34"/>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pane xSplit="1" ySplit="2" topLeftCell="B33" activePane="bottomRight" state="frozenSplit"/>
      <selection pane="topRight"/>
      <selection pane="bottomLeft" activeCell="A3" sqref="A3"/>
      <selection pane="bottomRight" activeCell="F39" sqref="F39"/>
    </sheetView>
  </sheetViews>
  <sheetFormatPr defaultRowHeight="14.4" x14ac:dyDescent="0.3"/>
  <cols>
    <col min="1" max="1" width="25.5546875" customWidth="1"/>
    <col min="2" max="5" width="11.6640625" customWidth="1"/>
    <col min="6" max="6" width="9.5546875" bestFit="1" customWidth="1"/>
    <col min="7" max="7" width="12" customWidth="1"/>
  </cols>
  <sheetData>
    <row r="1" spans="1:9" s="19" customFormat="1" x14ac:dyDescent="0.3">
      <c r="A1" s="20" t="s">
        <v>39</v>
      </c>
      <c r="B1" s="20"/>
      <c r="C1" s="20"/>
      <c r="D1" s="20"/>
      <c r="E1" s="20"/>
      <c r="F1" s="20"/>
      <c r="G1" s="20"/>
      <c r="H1" s="20"/>
      <c r="I1" s="20"/>
    </row>
    <row r="2" spans="1:9" s="13" customFormat="1" x14ac:dyDescent="0.3">
      <c r="B2" s="27"/>
      <c r="C2" s="27" t="s">
        <v>77</v>
      </c>
      <c r="E2" s="13" t="s">
        <v>75</v>
      </c>
      <c r="G2" s="13" t="s">
        <v>76</v>
      </c>
      <c r="H2" s="392"/>
      <c r="I2" s="392"/>
    </row>
    <row r="3" spans="1:9" s="13" customFormat="1" x14ac:dyDescent="0.3">
      <c r="B3" s="27" t="s">
        <v>61</v>
      </c>
      <c r="C3" s="27" t="s">
        <v>60</v>
      </c>
    </row>
    <row r="4" spans="1:9" x14ac:dyDescent="0.3">
      <c r="A4" t="s">
        <v>1</v>
      </c>
      <c r="B4">
        <v>507</v>
      </c>
      <c r="C4">
        <v>215</v>
      </c>
      <c r="D4">
        <v>506</v>
      </c>
      <c r="E4">
        <v>219</v>
      </c>
      <c r="F4">
        <v>495</v>
      </c>
      <c r="G4">
        <v>967</v>
      </c>
    </row>
    <row r="5" spans="1:9" x14ac:dyDescent="0.3">
      <c r="A5" t="s">
        <v>2</v>
      </c>
      <c r="B5">
        <v>491</v>
      </c>
      <c r="C5">
        <v>967</v>
      </c>
      <c r="D5">
        <v>507</v>
      </c>
      <c r="E5">
        <v>210</v>
      </c>
      <c r="F5">
        <v>487</v>
      </c>
      <c r="G5">
        <v>966</v>
      </c>
    </row>
    <row r="6" spans="1:9" x14ac:dyDescent="0.3">
      <c r="A6" t="s">
        <v>4</v>
      </c>
      <c r="B6">
        <f t="shared" ref="B6:G6" si="0">B5-B4</f>
        <v>-16</v>
      </c>
      <c r="C6">
        <f t="shared" si="0"/>
        <v>752</v>
      </c>
      <c r="D6">
        <f t="shared" si="0"/>
        <v>1</v>
      </c>
      <c r="E6">
        <f t="shared" si="0"/>
        <v>-9</v>
      </c>
      <c r="F6">
        <f t="shared" si="0"/>
        <v>-8</v>
      </c>
      <c r="G6">
        <f t="shared" si="0"/>
        <v>-1</v>
      </c>
    </row>
    <row r="7" spans="1:9" x14ac:dyDescent="0.3">
      <c r="A7" t="s">
        <v>5</v>
      </c>
      <c r="B7">
        <f t="shared" ref="B7:G7" si="1">B6^2</f>
        <v>256</v>
      </c>
      <c r="C7">
        <f t="shared" si="1"/>
        <v>565504</v>
      </c>
      <c r="D7">
        <f t="shared" si="1"/>
        <v>1</v>
      </c>
      <c r="E7">
        <f t="shared" si="1"/>
        <v>81</v>
      </c>
      <c r="F7">
        <f t="shared" si="1"/>
        <v>64</v>
      </c>
      <c r="G7">
        <f t="shared" si="1"/>
        <v>1</v>
      </c>
    </row>
    <row r="8" spans="1:9" x14ac:dyDescent="0.3">
      <c r="A8" t="s">
        <v>6</v>
      </c>
      <c r="C8">
        <f>SQRT(SUM(B7:C7))</f>
        <v>752.17019350676219</v>
      </c>
      <c r="E8">
        <f>SQRT(SUM(D7:E7))</f>
        <v>9.0553851381374173</v>
      </c>
      <c r="G8">
        <f>SQRT(SUM(F7:G7))</f>
        <v>8.0622577482985491</v>
      </c>
    </row>
    <row r="9" spans="1:9" x14ac:dyDescent="0.3">
      <c r="A9" t="s">
        <v>7</v>
      </c>
      <c r="C9">
        <f>MOD(ATAN2(C6,B6)*180/PI()+270,360)</f>
        <v>268.78112476486871</v>
      </c>
      <c r="E9">
        <f>MOD(ATAN2(E6,D6)*180/PI()+270,360)</f>
        <v>83.65980825409008</v>
      </c>
      <c r="G9">
        <f>MOD(ATAN2(G6,F6)*180/PI()+270,360)</f>
        <v>172.8749836510982</v>
      </c>
    </row>
    <row r="10" spans="1:9" s="17" customFormat="1" ht="117" customHeight="1" x14ac:dyDescent="0.3">
      <c r="A10" s="16" t="s">
        <v>40</v>
      </c>
      <c r="B10" s="393"/>
      <c r="C10" s="393"/>
      <c r="D10" s="393"/>
      <c r="E10" s="393"/>
      <c r="F10" s="393"/>
      <c r="G10" s="393"/>
    </row>
    <row r="11" spans="1:9" s="19" customFormat="1" x14ac:dyDescent="0.3">
      <c r="A11" s="20" t="s">
        <v>37</v>
      </c>
      <c r="B11" s="20"/>
      <c r="C11" s="20"/>
      <c r="D11" s="20"/>
      <c r="E11" s="20"/>
      <c r="F11" s="20"/>
      <c r="G11" s="20"/>
    </row>
    <row r="12" spans="1:9" s="1" customFormat="1" x14ac:dyDescent="0.3">
      <c r="B12" s="1" t="s">
        <v>62</v>
      </c>
      <c r="C12" s="1" t="s">
        <v>63</v>
      </c>
      <c r="F12" s="6"/>
    </row>
    <row r="13" spans="1:9" x14ac:dyDescent="0.3">
      <c r="A13" t="s">
        <v>18</v>
      </c>
      <c r="F13" s="5"/>
      <c r="G13" s="2"/>
    </row>
    <row r="14" spans="1:9" x14ac:dyDescent="0.3">
      <c r="A14" t="s">
        <v>17</v>
      </c>
      <c r="F14" s="5"/>
      <c r="G14" s="2"/>
    </row>
    <row r="15" spans="1:9" x14ac:dyDescent="0.3">
      <c r="A15" t="s">
        <v>14</v>
      </c>
      <c r="F15" s="5"/>
      <c r="G15" s="5"/>
    </row>
    <row r="16" spans="1:9" x14ac:dyDescent="0.3">
      <c r="A16" t="s">
        <v>13</v>
      </c>
      <c r="C16">
        <v>210.6</v>
      </c>
      <c r="E16">
        <v>2.3660000000000001</v>
      </c>
      <c r="F16" s="4"/>
      <c r="G16" s="31">
        <v>2.3620000000000001</v>
      </c>
    </row>
    <row r="17" spans="1:8" x14ac:dyDescent="0.3">
      <c r="A17" t="s">
        <v>7</v>
      </c>
      <c r="C17">
        <v>172</v>
      </c>
      <c r="E17">
        <v>348.37</v>
      </c>
      <c r="G17">
        <v>79.27</v>
      </c>
    </row>
    <row r="18" spans="1:8" x14ac:dyDescent="0.3">
      <c r="A18" t="s">
        <v>32</v>
      </c>
      <c r="B18" s="9">
        <f>-C16*SIN((C17)/180*PI())</f>
        <v>-29.309855062189758</v>
      </c>
      <c r="C18" s="9">
        <f>C16*COS((C17)/180*PI())</f>
        <v>-208.5504552769747</v>
      </c>
      <c r="D18" s="9">
        <f>-E16*SIN((E17)/180*PI())</f>
        <v>0.47696382797454101</v>
      </c>
      <c r="E18" s="9">
        <f>E16*COS((E17)/180*PI())</f>
        <v>2.317425620554816</v>
      </c>
      <c r="F18" s="9">
        <f>-G16*SIN((G17)/180*PI())</f>
        <v>-2.3207014859111639</v>
      </c>
      <c r="G18" s="9">
        <f>G16*COS((G17)/180*PI())</f>
        <v>0.43975972222307519</v>
      </c>
    </row>
    <row r="19" spans="1:8" s="14" customFormat="1" ht="69" customHeight="1" x14ac:dyDescent="0.3">
      <c r="A19" s="15" t="s">
        <v>40</v>
      </c>
      <c r="B19" s="389" t="s">
        <v>74</v>
      </c>
      <c r="C19" s="389"/>
      <c r="D19" s="390"/>
      <c r="E19" s="390"/>
      <c r="F19" s="21"/>
      <c r="G19" s="21"/>
    </row>
    <row r="20" spans="1:8" s="19" customFormat="1" x14ac:dyDescent="0.3">
      <c r="A20" s="18" t="s">
        <v>38</v>
      </c>
    </row>
    <row r="21" spans="1:8" x14ac:dyDescent="0.3">
      <c r="A21" s="7" t="s">
        <v>65</v>
      </c>
      <c r="C21">
        <f>C16/C8</f>
        <v>0.27998982386970461</v>
      </c>
      <c r="E21">
        <f>E16/E8</f>
        <v>0.26128099069308691</v>
      </c>
      <c r="G21">
        <f>G16/G8</f>
        <v>0.29297004309971042</v>
      </c>
      <c r="H21" t="s">
        <v>8</v>
      </c>
    </row>
    <row r="22" spans="1:8" x14ac:dyDescent="0.3">
      <c r="A22" t="s">
        <v>34</v>
      </c>
      <c r="B22">
        <f>STDEV(B21:G21)</f>
        <v>1.5930592019336332E-2</v>
      </c>
      <c r="C22">
        <f>AVERAGE(B21:G21)</f>
        <v>0.27808028588750067</v>
      </c>
    </row>
    <row r="23" spans="1:8" x14ac:dyDescent="0.3">
      <c r="A23" t="s">
        <v>35</v>
      </c>
      <c r="C23">
        <f>C21-$C22</f>
        <v>1.909537982203946E-3</v>
      </c>
      <c r="E23">
        <f>E21-$C22</f>
        <v>-1.6799295194413755E-2</v>
      </c>
      <c r="G23">
        <f>G21-$C22</f>
        <v>1.4889757212209753E-2</v>
      </c>
      <c r="H23" t="s">
        <v>8</v>
      </c>
    </row>
    <row r="24" spans="1:8" x14ac:dyDescent="0.3">
      <c r="A24" s="7" t="s">
        <v>64</v>
      </c>
      <c r="C24" s="29">
        <f>MOD(C9-C17,360)</f>
        <v>96.781124764868707</v>
      </c>
      <c r="E24">
        <f>MOD(E9-E17,360)</f>
        <v>95.289808254090076</v>
      </c>
      <c r="G24">
        <f>MOD(G9-G17,360)</f>
        <v>93.604983651098209</v>
      </c>
      <c r="H24" t="s">
        <v>19</v>
      </c>
    </row>
    <row r="25" spans="1:8" x14ac:dyDescent="0.3">
      <c r="A25" t="s">
        <v>36</v>
      </c>
      <c r="B25">
        <f>STDEV(B24:G24)</f>
        <v>1.5890527184851859</v>
      </c>
      <c r="C25">
        <f>AVERAGE(B24:G24)</f>
        <v>95.225305556685669</v>
      </c>
    </row>
    <row r="26" spans="1:8" x14ac:dyDescent="0.3">
      <c r="A26" t="s">
        <v>35</v>
      </c>
      <c r="C26">
        <f>C24-$C25</f>
        <v>1.5558192081830384</v>
      </c>
      <c r="E26">
        <f>E24-$C25</f>
        <v>6.4502697404407172E-2</v>
      </c>
      <c r="G26">
        <f>G24-$C25</f>
        <v>-1.6203219055874598</v>
      </c>
      <c r="H26" t="s">
        <v>19</v>
      </c>
    </row>
    <row r="27" spans="1:8" x14ac:dyDescent="0.3">
      <c r="A27" t="s">
        <v>67</v>
      </c>
      <c r="C27">
        <f>SQRT(C16)</f>
        <v>14.512063946937388</v>
      </c>
      <c r="E27">
        <f>SQRT(E16)</f>
        <v>1.5381807436059003</v>
      </c>
      <c r="G27">
        <f>SQRT(G16)</f>
        <v>1.5368799562750501</v>
      </c>
    </row>
    <row r="28" spans="1:8" x14ac:dyDescent="0.3">
      <c r="A28" t="s">
        <v>68</v>
      </c>
      <c r="C28">
        <f>C27*C21</f>
        <v>4.0632302284888899</v>
      </c>
      <c r="E28">
        <f>E27*E21</f>
        <v>0.40189738855437873</v>
      </c>
      <c r="G28">
        <f>G27*G21</f>
        <v>0.45025978702898251</v>
      </c>
    </row>
    <row r="29" spans="1:8" x14ac:dyDescent="0.3">
      <c r="A29" t="s">
        <v>69</v>
      </c>
      <c r="C29" s="7">
        <f>SUM(B28:G28)/SUM(B27:G27)</f>
        <v>0.27948783571972274</v>
      </c>
    </row>
    <row r="30" spans="1:8" x14ac:dyDescent="0.3">
      <c r="A30" t="s">
        <v>72</v>
      </c>
      <c r="C30" s="7">
        <f>C21-$C$29</f>
        <v>5.0198814998186903E-4</v>
      </c>
      <c r="E30" s="7">
        <f>E21-$C$29</f>
        <v>-1.8206845026635832E-2</v>
      </c>
      <c r="G30" s="7">
        <f>G21-$C$29</f>
        <v>1.3482207379987676E-2</v>
      </c>
    </row>
    <row r="31" spans="1:8" x14ac:dyDescent="0.3">
      <c r="A31" t="s">
        <v>70</v>
      </c>
      <c r="C31">
        <f>C27*C24</f>
        <v>1404.4938714443003</v>
      </c>
      <c r="E31">
        <f>E27*E24</f>
        <v>146.57294811833992</v>
      </c>
      <c r="G31">
        <f>G27*G24</f>
        <v>143.85962318082659</v>
      </c>
    </row>
    <row r="32" spans="1:8" x14ac:dyDescent="0.3">
      <c r="A32" t="s">
        <v>71</v>
      </c>
      <c r="C32" s="7">
        <f>SUM(B31:G31)/SUM(B27:G27)</f>
        <v>96.373140964239056</v>
      </c>
    </row>
    <row r="33" spans="1:9" x14ac:dyDescent="0.3">
      <c r="A33" t="s">
        <v>73</v>
      </c>
      <c r="C33" s="7">
        <f>C24-$C$32</f>
        <v>0.40798380062965123</v>
      </c>
      <c r="E33" s="7">
        <f>E24-$C$32</f>
        <v>-1.08333271014898</v>
      </c>
      <c r="G33" s="7">
        <f>G24-$C$32</f>
        <v>-2.768157313140847</v>
      </c>
      <c r="I33" s="7"/>
    </row>
    <row r="34" spans="1:9" s="14" customFormat="1" ht="75.75" customHeight="1" x14ac:dyDescent="0.3">
      <c r="A34" s="15" t="s">
        <v>40</v>
      </c>
      <c r="B34" s="391"/>
      <c r="C34" s="391"/>
    </row>
    <row r="35" spans="1:9" s="19" customFormat="1" x14ac:dyDescent="0.3">
      <c r="A35" s="20" t="s">
        <v>54</v>
      </c>
      <c r="B35" s="20"/>
      <c r="C35" s="20"/>
      <c r="D35" s="20"/>
      <c r="E35" s="20"/>
      <c r="F35" s="20"/>
      <c r="G35" s="20"/>
    </row>
    <row r="36" spans="1:9" x14ac:dyDescent="0.3">
      <c r="A36" s="7" t="s">
        <v>42</v>
      </c>
      <c r="C36" s="4">
        <f>C8*$C29</f>
        <v>210.22241947609001</v>
      </c>
      <c r="E36" s="110">
        <f>E8*$C29</f>
        <v>2.5308699938665695</v>
      </c>
      <c r="G36" s="110">
        <f>G8*$C29</f>
        <v>2.2533029690865267</v>
      </c>
    </row>
    <row r="37" spans="1:9" x14ac:dyDescent="0.3">
      <c r="A37" t="s">
        <v>50</v>
      </c>
      <c r="C37" s="4">
        <f>C36-C16</f>
        <v>-0.37758052390998387</v>
      </c>
      <c r="E37" s="4">
        <f>E36-E16</f>
        <v>0.16486999386656942</v>
      </c>
      <c r="G37" s="4">
        <f>G36-G16</f>
        <v>-0.10869703091347338</v>
      </c>
    </row>
    <row r="38" spans="1:9" x14ac:dyDescent="0.3">
      <c r="A38" t="s">
        <v>51</v>
      </c>
      <c r="C38" s="23">
        <f>C37/C16</f>
        <v>-1.7928799805792207E-3</v>
      </c>
      <c r="E38" s="23">
        <f>E37/E16</f>
        <v>6.9683006706073289E-2</v>
      </c>
      <c r="G38" s="23">
        <f>G37/G16</f>
        <v>-4.6019064738981111E-2</v>
      </c>
    </row>
    <row r="39" spans="1:9" x14ac:dyDescent="0.3">
      <c r="A39" t="s">
        <v>53</v>
      </c>
      <c r="B39">
        <f>AVERAGE(B37:G37)</f>
        <v>-0.10713585365229594</v>
      </c>
      <c r="C39" s="23">
        <f>AVERAGE(C38:G38)</f>
        <v>7.2903539955043173E-3</v>
      </c>
      <c r="E39" s="4"/>
      <c r="G39" s="4"/>
    </row>
    <row r="40" spans="1:9" x14ac:dyDescent="0.3">
      <c r="A40" t="s">
        <v>52</v>
      </c>
      <c r="B40">
        <f>STDEV(B37:G37)</f>
        <v>0.27122862867854364</v>
      </c>
      <c r="C40" s="23">
        <f>STDEV(C38:G38)</f>
        <v>5.8383398229011362E-2</v>
      </c>
      <c r="E40" s="4"/>
      <c r="G40" s="4"/>
    </row>
    <row r="41" spans="1:9" x14ac:dyDescent="0.3">
      <c r="C41" s="23"/>
      <c r="E41" s="4"/>
      <c r="G41" s="4"/>
    </row>
    <row r="42" spans="1:9" x14ac:dyDescent="0.3">
      <c r="A42" s="7" t="s">
        <v>43</v>
      </c>
      <c r="C42" s="4">
        <f>MOD(C9-$C32,360)</f>
        <v>172.40798380062967</v>
      </c>
      <c r="E42" s="4">
        <f>MOD(E9-$C32,360)</f>
        <v>347.28666728985104</v>
      </c>
      <c r="G42" s="4">
        <f>MOD(G9-$C32,360)</f>
        <v>76.501842686859149</v>
      </c>
    </row>
    <row r="43" spans="1:9" x14ac:dyDescent="0.3">
      <c r="A43" t="s">
        <v>55</v>
      </c>
      <c r="C43" s="4">
        <f>C42-C17</f>
        <v>0.40798380062966544</v>
      </c>
      <c r="E43" s="4">
        <f>E42-E17</f>
        <v>-1.0833327101489658</v>
      </c>
      <c r="G43" s="4">
        <f>G42-G17</f>
        <v>-2.768157313140847</v>
      </c>
    </row>
    <row r="44" spans="1:9" x14ac:dyDescent="0.3">
      <c r="A44" t="s">
        <v>56</v>
      </c>
      <c r="B44">
        <f>AVERAGE(B43:G43)</f>
        <v>-1.1478354075533825</v>
      </c>
      <c r="C44" s="4"/>
      <c r="E44" s="4"/>
      <c r="G44" s="4"/>
    </row>
    <row r="45" spans="1:9" x14ac:dyDescent="0.3">
      <c r="A45" t="s">
        <v>57</v>
      </c>
      <c r="B45">
        <f>STDEV(B43:G43)</f>
        <v>1.589052718485193</v>
      </c>
      <c r="C45" s="4"/>
      <c r="E45" s="4"/>
      <c r="G45" s="4"/>
    </row>
    <row r="46" spans="1:9" x14ac:dyDescent="0.3">
      <c r="C46" s="4"/>
      <c r="E46" s="4"/>
      <c r="G46" s="4"/>
    </row>
    <row r="47" spans="1:9" x14ac:dyDescent="0.3">
      <c r="A47" t="s">
        <v>44</v>
      </c>
      <c r="B47" s="9">
        <f>-C36*SIN((C42)/180*PI())</f>
        <v>-27.774222255325238</v>
      </c>
      <c r="C47" s="9">
        <f>C36*COS((C42)/180*PI())</f>
        <v>-208.3796012773154</v>
      </c>
      <c r="D47" s="9">
        <f>-E36*SIN((E42)/180*PI())</f>
        <v>0.55697667095010905</v>
      </c>
      <c r="E47" s="9">
        <f>E36*COS((E42)/180*PI())</f>
        <v>2.4688215637974937</v>
      </c>
      <c r="F47" s="9">
        <f>-G36*SIN((G42)/180*PI())</f>
        <v>-2.1910609449544745</v>
      </c>
      <c r="G47" s="9">
        <f>G36*COS((G42)/180*PI())</f>
        <v>0.52595266516043337</v>
      </c>
    </row>
    <row r="48" spans="1:9" s="10" customFormat="1" x14ac:dyDescent="0.3">
      <c r="A48" t="s">
        <v>45</v>
      </c>
      <c r="B48" s="9">
        <f t="shared" ref="B48:G48" si="2">B47-B18</f>
        <v>1.5356328068645198</v>
      </c>
      <c r="C48" s="9">
        <f t="shared" si="2"/>
        <v>0.17085399965930037</v>
      </c>
      <c r="D48" s="9">
        <f t="shared" si="2"/>
        <v>8.0012842975568044E-2</v>
      </c>
      <c r="E48" s="9">
        <f t="shared" si="2"/>
        <v>0.15139594324267769</v>
      </c>
      <c r="F48" s="9">
        <f t="shared" si="2"/>
        <v>0.12964054095668942</v>
      </c>
      <c r="G48" s="9">
        <f t="shared" si="2"/>
        <v>8.6192942937358186E-2</v>
      </c>
    </row>
    <row r="49" spans="1:7" x14ac:dyDescent="0.3">
      <c r="A49" t="s">
        <v>46</v>
      </c>
      <c r="B49">
        <f t="shared" ref="B49:G49" si="3">B48^2</f>
        <v>2.3581681175186033</v>
      </c>
      <c r="C49">
        <f t="shared" si="3"/>
        <v>2.919108919958021E-2</v>
      </c>
      <c r="D49">
        <f t="shared" si="3"/>
        <v>6.4020550410329082E-3</v>
      </c>
      <c r="E49">
        <f t="shared" si="3"/>
        <v>2.2920731630340085E-2</v>
      </c>
      <c r="F49">
        <f t="shared" si="3"/>
        <v>1.6806669859543068E-2</v>
      </c>
      <c r="G49">
        <f t="shared" si="3"/>
        <v>7.4292234122026847E-3</v>
      </c>
    </row>
    <row r="50" spans="1:7" s="10" customFormat="1" x14ac:dyDescent="0.3">
      <c r="A50" t="s">
        <v>47</v>
      </c>
      <c r="B50" s="9"/>
      <c r="C50" s="9">
        <f>SQRT(B49+C49)</f>
        <v>1.5451081537284643</v>
      </c>
      <c r="D50" s="9"/>
      <c r="E50" s="9">
        <f>SQRT(D49+E49)</f>
        <v>0.17123897532796964</v>
      </c>
      <c r="F50" s="9"/>
      <c r="G50" s="9">
        <f>SQRT(F49+G49)</f>
        <v>0.15567881446023973</v>
      </c>
    </row>
    <row r="51" spans="1:7" s="10" customFormat="1" x14ac:dyDescent="0.3">
      <c r="A51" t="s">
        <v>48</v>
      </c>
      <c r="B51" s="9"/>
      <c r="C51" s="11">
        <f>C50/C36</f>
        <v>7.3498733273983643E-3</v>
      </c>
      <c r="E51" s="11">
        <f>E50/E36</f>
        <v>6.766012309717935E-2</v>
      </c>
      <c r="G51" s="11">
        <f>G50/G36</f>
        <v>6.908916226358626E-2</v>
      </c>
    </row>
    <row r="52" spans="1:7" s="10" customFormat="1" x14ac:dyDescent="0.3">
      <c r="A52"/>
      <c r="B52" s="9"/>
      <c r="C52" s="12"/>
      <c r="E52" s="11"/>
      <c r="G52" s="11"/>
    </row>
    <row r="53" spans="1:7" s="10" customFormat="1" x14ac:dyDescent="0.3">
      <c r="A53" t="s">
        <v>89</v>
      </c>
      <c r="B53" s="9">
        <f>MEDIAN(B50:G50)</f>
        <v>0.17123897532796964</v>
      </c>
      <c r="C53" s="12"/>
      <c r="E53" s="11"/>
      <c r="G53" s="11"/>
    </row>
    <row r="54" spans="1:7" s="10" customFormat="1" x14ac:dyDescent="0.3">
      <c r="A54" t="s">
        <v>81</v>
      </c>
      <c r="B54" s="9">
        <f>AVERAGE(B50:G50)</f>
        <v>0.62400864783889121</v>
      </c>
      <c r="C54" s="12"/>
      <c r="E54" s="11"/>
      <c r="G54" s="11"/>
    </row>
    <row r="55" spans="1:7" s="10" customFormat="1" x14ac:dyDescent="0.3">
      <c r="A55" t="s">
        <v>82</v>
      </c>
      <c r="B55" s="9">
        <f>STDEV(B50:G50)</f>
        <v>0.79773351093210909</v>
      </c>
      <c r="C55" s="12"/>
      <c r="E55" s="11"/>
      <c r="G55" s="11"/>
    </row>
    <row r="56" spans="1:7" s="10" customFormat="1" x14ac:dyDescent="0.3">
      <c r="A56" t="s">
        <v>83</v>
      </c>
      <c r="B56" s="9">
        <f>COUNT(B50:G50)</f>
        <v>3</v>
      </c>
      <c r="C56" s="12"/>
      <c r="E56" s="11"/>
      <c r="G56" s="11"/>
    </row>
    <row r="57" spans="1:7" s="10" customFormat="1" x14ac:dyDescent="0.3">
      <c r="A57"/>
      <c r="B57" s="9"/>
      <c r="C57" s="9"/>
    </row>
    <row r="58" spans="1:7" s="10" customFormat="1" x14ac:dyDescent="0.3">
      <c r="B58" s="7"/>
      <c r="C58" s="7"/>
      <c r="D58" s="7"/>
      <c r="E58" s="7"/>
    </row>
    <row r="59" spans="1:7" x14ac:dyDescent="0.3">
      <c r="A59" s="7" t="s">
        <v>27</v>
      </c>
    </row>
    <row r="60" spans="1:7" x14ac:dyDescent="0.3">
      <c r="A60" t="s">
        <v>21</v>
      </c>
    </row>
    <row r="61" spans="1:7" x14ac:dyDescent="0.3">
      <c r="A61" t="s">
        <v>24</v>
      </c>
    </row>
    <row r="62" spans="1:7" x14ac:dyDescent="0.3">
      <c r="A62" t="s">
        <v>24</v>
      </c>
    </row>
    <row r="63" spans="1:7" x14ac:dyDescent="0.3">
      <c r="A63" t="s">
        <v>24</v>
      </c>
    </row>
  </sheetData>
  <mergeCells count="7">
    <mergeCell ref="B19:C19"/>
    <mergeCell ref="D19:E19"/>
    <mergeCell ref="B34:C34"/>
    <mergeCell ref="H2:I2"/>
    <mergeCell ref="B10:C10"/>
    <mergeCell ref="D10:E10"/>
    <mergeCell ref="F10:G10"/>
  </mergeCells>
  <phoneticPr fontId="10"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E51" sqref="E51"/>
    </sheetView>
  </sheetViews>
  <sheetFormatPr defaultColWidth="9.109375" defaultRowHeight="14.4" x14ac:dyDescent="0.3"/>
  <cols>
    <col min="1" max="1" width="28" style="118" customWidth="1"/>
    <col min="2"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20</v>
      </c>
      <c r="E2" s="116" t="s">
        <v>367</v>
      </c>
      <c r="F2" s="116"/>
      <c r="G2" s="116" t="s">
        <v>435</v>
      </c>
      <c r="I2" s="116" t="s">
        <v>436</v>
      </c>
      <c r="J2" s="116"/>
      <c r="K2" s="291" t="s">
        <v>373</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642.64499999999998</v>
      </c>
      <c r="C4" s="225">
        <v>480.2</v>
      </c>
      <c r="D4" s="63">
        <v>1084</v>
      </c>
      <c r="E4" s="63">
        <v>373</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
      <c r="A5" s="118" t="s">
        <v>2</v>
      </c>
      <c r="B5" s="217">
        <v>678.12699999999995</v>
      </c>
      <c r="C5" s="217">
        <v>499.89800000000002</v>
      </c>
      <c r="D5" s="63">
        <v>513</v>
      </c>
      <c r="E5" s="63">
        <v>430</v>
      </c>
      <c r="F5" s="217">
        <v>606.39</v>
      </c>
      <c r="G5" s="217">
        <v>462.41</v>
      </c>
      <c r="H5" s="217">
        <v>559.30999999999995</v>
      </c>
      <c r="I5" s="217">
        <v>450.67</v>
      </c>
      <c r="J5" s="63">
        <v>516</v>
      </c>
      <c r="K5" s="63">
        <v>299</v>
      </c>
      <c r="N5" s="63"/>
      <c r="O5" s="63"/>
      <c r="P5" s="217"/>
      <c r="Q5" s="217"/>
      <c r="T5" s="63"/>
      <c r="U5" s="63"/>
      <c r="X5" s="63"/>
      <c r="Y5" s="63"/>
      <c r="AB5" s="63"/>
      <c r="AC5" s="63"/>
      <c r="AF5" s="63"/>
      <c r="AG5" s="63"/>
      <c r="AJ5" s="63"/>
      <c r="AK5" s="63"/>
      <c r="AL5" s="217"/>
      <c r="AM5" s="217"/>
      <c r="AN5" s="63"/>
      <c r="AO5" s="63"/>
      <c r="AQ5" s="217"/>
      <c r="AR5" s="217"/>
    </row>
    <row r="6" spans="1:44" x14ac:dyDescent="0.3">
      <c r="A6" s="118" t="s">
        <v>4</v>
      </c>
      <c r="B6" s="118">
        <f t="shared" ref="B6:G6" si="0">B5-B4</f>
        <v>35.481999999999971</v>
      </c>
      <c r="C6" s="118">
        <f t="shared" si="0"/>
        <v>19.698000000000036</v>
      </c>
      <c r="D6" s="63">
        <f t="shared" si="0"/>
        <v>-571</v>
      </c>
      <c r="E6" s="63">
        <f t="shared" si="0"/>
        <v>57</v>
      </c>
      <c r="F6" s="118">
        <f t="shared" si="0"/>
        <v>52.539999999999964</v>
      </c>
      <c r="G6" s="118">
        <f t="shared" si="0"/>
        <v>19.700000000000045</v>
      </c>
      <c r="H6" s="118">
        <f t="shared" ref="H6:K6" si="1">H5-H4</f>
        <v>5.4599999999999227</v>
      </c>
      <c r="I6" s="118">
        <f t="shared" si="1"/>
        <v>7.9600000000000364</v>
      </c>
      <c r="J6" s="63">
        <f t="shared" si="1"/>
        <v>-607</v>
      </c>
      <c r="K6" s="63">
        <f t="shared" si="1"/>
        <v>52</v>
      </c>
      <c r="N6" s="63"/>
      <c r="O6" s="63"/>
      <c r="P6" s="63"/>
      <c r="Q6" s="63"/>
      <c r="T6" s="63"/>
      <c r="U6" s="63"/>
      <c r="X6" s="63"/>
      <c r="Y6" s="63"/>
      <c r="AB6" s="63"/>
      <c r="AC6" s="63"/>
      <c r="AF6" s="63"/>
      <c r="AG6" s="63"/>
      <c r="AJ6" s="63"/>
      <c r="AK6" s="63"/>
      <c r="AN6" s="63"/>
      <c r="AO6" s="63"/>
    </row>
    <row r="7" spans="1:44" x14ac:dyDescent="0.3">
      <c r="A7" s="118" t="s">
        <v>5</v>
      </c>
      <c r="B7" s="118">
        <f t="shared" ref="B7:G7" si="2">B6^2</f>
        <v>1258.972323999998</v>
      </c>
      <c r="C7" s="118">
        <f t="shared" si="2"/>
        <v>388.01120400000144</v>
      </c>
      <c r="D7" s="63">
        <f t="shared" si="2"/>
        <v>326041</v>
      </c>
      <c r="E7" s="63">
        <f t="shared" si="2"/>
        <v>3249</v>
      </c>
      <c r="F7" s="118">
        <f t="shared" si="2"/>
        <v>2760.4515999999962</v>
      </c>
      <c r="G7" s="118">
        <f t="shared" si="2"/>
        <v>388.09000000000179</v>
      </c>
      <c r="H7" s="118">
        <f t="shared" ref="H7:K7" si="3">H6^2</f>
        <v>29.811599999999157</v>
      </c>
      <c r="I7" s="118">
        <f t="shared" si="3"/>
        <v>63.361600000000578</v>
      </c>
      <c r="J7" s="63">
        <f t="shared" si="3"/>
        <v>368449</v>
      </c>
      <c r="K7" s="63">
        <f t="shared" si="3"/>
        <v>2704</v>
      </c>
      <c r="N7" s="63"/>
      <c r="O7" s="63"/>
      <c r="P7" s="63"/>
      <c r="Q7" s="63"/>
      <c r="T7" s="63"/>
      <c r="U7" s="63"/>
      <c r="X7" s="63"/>
      <c r="Y7" s="63"/>
      <c r="AB7" s="63"/>
      <c r="AC7" s="63"/>
      <c r="AF7" s="63"/>
      <c r="AG7" s="63"/>
      <c r="AJ7" s="63"/>
      <c r="AK7" s="63"/>
      <c r="AN7" s="63"/>
      <c r="AO7" s="63"/>
    </row>
    <row r="8" spans="1:44" x14ac:dyDescent="0.3">
      <c r="A8" s="118" t="s">
        <v>6</v>
      </c>
      <c r="C8" s="118">
        <f>SQRT(SUM(B7:C7))</f>
        <v>40.583044834019042</v>
      </c>
      <c r="D8" s="63"/>
      <c r="E8" s="63">
        <f>SQRT(SUM(D7:E7))</f>
        <v>573.8379562210921</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
      <c r="A9" s="118" t="s">
        <v>7</v>
      </c>
      <c r="C9" s="118">
        <f>MOD(ATAN2(C6,B6)*180/PI()+270,360)</f>
        <v>330.96294824195365</v>
      </c>
      <c r="D9" s="63"/>
      <c r="E9" s="63">
        <f>MOD(ATAN2(E6,D6)*180/PI()+270,360)</f>
        <v>185.70065802757438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5" customFormat="1" ht="117" customHeight="1" x14ac:dyDescent="0.3">
      <c r="A10" s="250" t="s">
        <v>40</v>
      </c>
      <c r="B10" s="430" t="s">
        <v>437</v>
      </c>
      <c r="C10" s="430"/>
      <c r="D10" s="430"/>
      <c r="E10" s="430"/>
      <c r="F10" s="430" t="s">
        <v>438</v>
      </c>
      <c r="G10" s="430"/>
      <c r="H10" s="430" t="s">
        <v>438</v>
      </c>
      <c r="I10" s="430"/>
      <c r="J10" s="430"/>
      <c r="K10" s="430"/>
      <c r="L10" s="434"/>
      <c r="M10" s="434"/>
      <c r="N10" s="430"/>
      <c r="O10" s="430"/>
      <c r="P10" s="430"/>
      <c r="Q10" s="430"/>
      <c r="R10" s="434"/>
      <c r="S10" s="434"/>
      <c r="T10" s="430"/>
      <c r="U10" s="430"/>
      <c r="V10" s="434"/>
      <c r="W10" s="434"/>
      <c r="X10" s="430"/>
      <c r="Y10" s="430"/>
      <c r="Z10" s="430"/>
      <c r="AA10" s="430"/>
      <c r="AB10" s="430"/>
      <c r="AC10" s="430"/>
      <c r="AD10" s="430"/>
      <c r="AE10" s="430"/>
      <c r="AH10" s="430"/>
      <c r="AI10" s="430"/>
      <c r="AL10" s="430"/>
      <c r="AM10" s="430"/>
    </row>
    <row r="11" spans="1:44" s="127" customFormat="1" x14ac:dyDescent="0.3">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4" customFormat="1" x14ac:dyDescent="0.3">
      <c r="B12" s="334" t="s">
        <v>62</v>
      </c>
      <c r="C12" s="334" t="s">
        <v>63</v>
      </c>
      <c r="D12" s="69"/>
      <c r="E12" s="69"/>
      <c r="F12" s="334" t="s">
        <v>62</v>
      </c>
      <c r="G12" s="334" t="s">
        <v>63</v>
      </c>
      <c r="H12" s="334" t="s">
        <v>62</v>
      </c>
      <c r="I12" s="334"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
      <c r="A16" s="118" t="s">
        <v>13</v>
      </c>
      <c r="C16" s="147">
        <v>4.8079999999999998</v>
      </c>
      <c r="D16" s="63"/>
      <c r="E16" s="111">
        <f>5*15.0412*COS((31+51/60+36/3600)*PI()/180)</f>
        <v>63.875494142202989</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18">
        <v>55.71</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
      <c r="A18" s="118" t="s">
        <v>32</v>
      </c>
      <c r="B18" s="72">
        <f>-C16*SIN((C17)/180*PI())</f>
        <v>-3.9723534247476153</v>
      </c>
      <c r="C18" s="72">
        <f>C16*COS((C17)/180*PI())</f>
        <v>2.7087399780886847</v>
      </c>
      <c r="D18" s="72">
        <f>-E16*SIN((E17)/180*PI())</f>
        <v>63.875494142202989</v>
      </c>
      <c r="E18" s="72">
        <f>E16*COS((E17)/180*PI())</f>
        <v>3.9128481477422296E-15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3" customFormat="1" ht="69" customHeight="1" x14ac:dyDescent="0.3">
      <c r="A19" s="251" t="s">
        <v>40</v>
      </c>
      <c r="B19" s="388"/>
      <c r="C19" s="388"/>
      <c r="D19" s="332"/>
      <c r="E19" s="332"/>
      <c r="F19" s="388"/>
      <c r="G19" s="388"/>
      <c r="H19" s="388"/>
      <c r="I19" s="388"/>
      <c r="J19" s="332"/>
      <c r="K19" s="332"/>
      <c r="L19" s="388"/>
      <c r="M19" s="388"/>
      <c r="N19" s="332"/>
      <c r="O19" s="332"/>
      <c r="P19" s="332"/>
      <c r="Q19" s="332"/>
      <c r="R19" s="432"/>
      <c r="S19" s="432"/>
      <c r="T19" s="332"/>
      <c r="U19" s="332"/>
      <c r="V19" s="432"/>
      <c r="W19" s="432"/>
      <c r="X19" s="332"/>
      <c r="Y19" s="332"/>
      <c r="Z19" s="388"/>
      <c r="AA19" s="388"/>
      <c r="AB19" s="332"/>
      <c r="AC19" s="332"/>
      <c r="AD19" s="388"/>
      <c r="AE19" s="388"/>
      <c r="AF19" s="332"/>
      <c r="AG19" s="332"/>
      <c r="AH19" s="388"/>
      <c r="AI19" s="388"/>
      <c r="AJ19" s="332"/>
      <c r="AK19" s="332"/>
      <c r="AL19" s="388"/>
      <c r="AM19" s="388"/>
      <c r="AN19" s="332"/>
      <c r="AO19" s="332"/>
    </row>
    <row r="20" spans="1:41" s="127" customFormat="1" x14ac:dyDescent="0.3">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0.1184731214640075</v>
      </c>
      <c r="D21" s="63"/>
      <c r="E21" s="118">
        <f>E16/E8</f>
        <v>0.11131277296964409</v>
      </c>
      <c r="G21" s="118">
        <f>G16/G8</f>
        <v>0.10553917261637515</v>
      </c>
      <c r="I21" s="118">
        <f>I16/I8</f>
        <v>0.11292263202557981</v>
      </c>
      <c r="J21" s="63"/>
      <c r="K21" s="118">
        <f>K16/K8</f>
        <v>0.1176364953377909</v>
      </c>
      <c r="N21" s="63"/>
      <c r="P21" s="63"/>
      <c r="T21" s="63"/>
      <c r="X21" s="63"/>
      <c r="AB21" s="63"/>
      <c r="AF21" s="63"/>
      <c r="AJ21" s="63"/>
      <c r="AN21" s="63"/>
    </row>
    <row r="22" spans="1:41" x14ac:dyDescent="0.3">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0.1184731214640075</v>
      </c>
      <c r="D23" s="63"/>
      <c r="E23" s="118">
        <f>E21-$C22</f>
        <v>0.11131277296964409</v>
      </c>
      <c r="G23" s="118">
        <f>G21-$C22</f>
        <v>0.10553917261637515</v>
      </c>
      <c r="I23" s="118">
        <f>I21-$C22</f>
        <v>0.11292263202557981</v>
      </c>
      <c r="J23" s="63"/>
      <c r="K23" s="118">
        <f>K21-$C22</f>
        <v>0.1176364953377909</v>
      </c>
      <c r="N23" s="63"/>
      <c r="P23" s="63"/>
      <c r="T23" s="63"/>
      <c r="X23" s="63"/>
      <c r="AB23" s="63"/>
      <c r="AF23" s="63"/>
      <c r="AJ23" s="63"/>
      <c r="AN23" s="63"/>
    </row>
    <row r="24" spans="1:41" x14ac:dyDescent="0.3">
      <c r="A24" s="139" t="s">
        <v>64</v>
      </c>
      <c r="C24" s="74">
        <f>MOD(C9-C17,360)</f>
        <v>275.25294824195367</v>
      </c>
      <c r="D24" s="63"/>
      <c r="E24" s="74">
        <f>MOD(E9-E17,360)</f>
        <v>275.70065802757438</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
      <c r="A26" s="118" t="s">
        <v>35</v>
      </c>
      <c r="C26" s="118">
        <f>C24-$C25</f>
        <v>275.25294824195367</v>
      </c>
      <c r="D26" s="63"/>
      <c r="E26" s="118">
        <f>E24-$C25</f>
        <v>275.70065802757438</v>
      </c>
      <c r="G26" s="118">
        <f>G24-$C25</f>
        <v>272.02634499273466</v>
      </c>
      <c r="I26" s="118">
        <f>I24-$C25</f>
        <v>274.63738142565256</v>
      </c>
      <c r="J26" s="63"/>
      <c r="K26" s="118">
        <f>K24-$C25</f>
        <v>274.89641520602032</v>
      </c>
      <c r="N26" s="63"/>
      <c r="P26" s="63"/>
      <c r="T26" s="63"/>
      <c r="X26" s="63"/>
      <c r="AB26" s="63"/>
      <c r="AF26" s="63"/>
      <c r="AJ26" s="63"/>
      <c r="AN26" s="63"/>
    </row>
    <row r="27" spans="1:41" x14ac:dyDescent="0.3">
      <c r="A27" s="118" t="s">
        <v>67</v>
      </c>
      <c r="C27" s="118">
        <f>SQRT(C16)</f>
        <v>2.1927152117865192</v>
      </c>
      <c r="D27" s="63"/>
      <c r="E27" s="63">
        <f>SQRT(E16)</f>
        <v>7.9922145956050876</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
      <c r="A28" s="129" t="s">
        <v>68</v>
      </c>
      <c r="C28" s="118">
        <f>C27*C21</f>
        <v>0.25977781562196123</v>
      </c>
      <c r="D28" s="63"/>
      <c r="E28" s="118">
        <f>E27*E21</f>
        <v>0.88963556880526495</v>
      </c>
      <c r="G28" s="118">
        <f>G27*G21</f>
        <v>0.2568312625376501</v>
      </c>
      <c r="I28" s="118">
        <f>I27*I21</f>
        <v>0.11789468901399719</v>
      </c>
      <c r="J28" s="63"/>
      <c r="K28" s="118">
        <f>K27*K21</f>
        <v>0.99586704241455382</v>
      </c>
      <c r="N28" s="63"/>
      <c r="P28" s="63"/>
      <c r="T28" s="63"/>
      <c r="X28" s="63"/>
      <c r="AB28" s="63"/>
      <c r="AF28" s="63"/>
      <c r="AJ28" s="63"/>
      <c r="AN28" s="63"/>
    </row>
    <row r="29" spans="1:41" x14ac:dyDescent="0.3">
      <c r="A29" s="139" t="s">
        <v>69</v>
      </c>
      <c r="B29" s="118" t="s">
        <v>357</v>
      </c>
      <c r="C29" s="139">
        <f>SUM(B28:K28)/SUM(B27:K27)</f>
        <v>0.11388260389859471</v>
      </c>
      <c r="D29" s="63"/>
      <c r="E29" s="63"/>
      <c r="F29" s="118" t="s">
        <v>357</v>
      </c>
      <c r="G29" s="139">
        <f>SUM(F28:I28)/SUM(F27:I27)</f>
        <v>0.10775583820345658</v>
      </c>
      <c r="H29" s="118" t="s">
        <v>357</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1.6484643711867652E-3</v>
      </c>
      <c r="C30" s="139">
        <f>C21-$C$29</f>
        <v>4.5905175654127883E-3</v>
      </c>
      <c r="D30" s="63"/>
      <c r="E30" s="139">
        <f>E21-$C29</f>
        <v>-2.5698309289506199E-3</v>
      </c>
      <c r="F30" s="118">
        <f>SQRT(SUMSQ(G30:I30)/SUM(G27:I27))</f>
        <v>4.5537657461007753E-3</v>
      </c>
      <c r="G30" s="139">
        <f>G21-$C$29</f>
        <v>-8.3434312822195655E-3</v>
      </c>
      <c r="H30" s="118">
        <f>SQRT(SUMSQ(I30:K30)/SUM(I27:K27))</f>
        <v>1.2564777558986093E-3</v>
      </c>
      <c r="I30" s="139">
        <f>I21-$C$29</f>
        <v>-9.5997187301490039E-4</v>
      </c>
      <c r="J30" s="63"/>
      <c r="K30" s="139">
        <f>K21-$C29</f>
        <v>3.7538914391961886E-3</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603.5513266992192</v>
      </c>
      <c r="D31" s="63"/>
      <c r="E31" s="63">
        <f>E27*E24</f>
        <v>2203.458823105907</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
      <c r="A32" s="261" t="s">
        <v>120</v>
      </c>
      <c r="C32" s="139">
        <f>MOD(SUM(B31:K31)/SUM(B27:K27),360)</f>
        <v>274.89436603424349</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0.27650482542738797</v>
      </c>
      <c r="C33" s="139">
        <f>C24-$C$32</f>
        <v>0.35858220771018523</v>
      </c>
      <c r="D33" s="63"/>
      <c r="E33" s="139">
        <f>E24-$C$32</f>
        <v>0.80629199333088764</v>
      </c>
      <c r="F33" s="118">
        <f>SQRT(SUMSQ(G33:I33)/SUM(G27:I27))</f>
        <v>1.5447710639141918</v>
      </c>
      <c r="G33" s="139">
        <f>G24-$C$32</f>
        <v>-2.8680210415088254</v>
      </c>
      <c r="H33" s="118">
        <f>SQRT(SUMSQ(I33:K33)/SUM(I27:K27))</f>
        <v>8.3337105103158199E-2</v>
      </c>
      <c r="I33" s="139">
        <f>I24-$C$32</f>
        <v>-0.2569846085909262</v>
      </c>
      <c r="J33" s="63"/>
      <c r="K33" s="139">
        <f>K24-$C$32</f>
        <v>2.0491717768322815E-3</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3" customFormat="1" ht="75.75" customHeight="1" x14ac:dyDescent="0.3">
      <c r="A34" s="251" t="s">
        <v>40</v>
      </c>
      <c r="B34" s="384"/>
      <c r="C34" s="384"/>
      <c r="D34" s="332"/>
      <c r="E34" s="332"/>
      <c r="F34" s="384"/>
      <c r="G34" s="384"/>
      <c r="H34" s="384"/>
      <c r="I34" s="384"/>
      <c r="J34" s="332"/>
      <c r="K34" s="332"/>
      <c r="L34" s="384"/>
      <c r="M34" s="384"/>
      <c r="N34" s="332"/>
      <c r="O34" s="332"/>
      <c r="P34" s="332"/>
      <c r="Q34" s="332"/>
      <c r="R34" s="433"/>
      <c r="S34" s="433"/>
      <c r="T34" s="332"/>
      <c r="U34" s="332"/>
      <c r="V34" s="433"/>
      <c r="W34" s="433"/>
      <c r="X34" s="332"/>
      <c r="Y34" s="332"/>
      <c r="Z34" s="384"/>
      <c r="AA34" s="384"/>
      <c r="AB34" s="332"/>
      <c r="AC34" s="332"/>
      <c r="AD34" s="384"/>
      <c r="AE34" s="384"/>
      <c r="AF34" s="332"/>
      <c r="AG34" s="332"/>
      <c r="AH34" s="384"/>
      <c r="AI34" s="384"/>
      <c r="AJ34" s="332"/>
      <c r="AK34" s="332"/>
      <c r="AL34" s="384"/>
      <c r="AM34" s="384"/>
      <c r="AN34" s="332"/>
      <c r="AO34" s="332"/>
    </row>
    <row r="35" spans="1:41" s="127" customFormat="1" x14ac:dyDescent="0.3">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4.6217028198315004</v>
      </c>
      <c r="D36" s="63" t="e">
        <f>A36*#REF!/A29</f>
        <v>#VALUE!</v>
      </c>
      <c r="E36" s="63" t="s">
        <v>358</v>
      </c>
      <c r="G36" s="147">
        <f>G8*$C29</f>
        <v>6.3901655050765287</v>
      </c>
      <c r="I36" s="147">
        <f>I8*$C29</f>
        <v>1.0992662500228407</v>
      </c>
      <c r="J36" s="63" t="e">
        <f>G36*#REF!/G29</f>
        <v>#REF!</v>
      </c>
      <c r="K36" s="63" t="s">
        <v>358</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-0.18629718016849939</v>
      </c>
      <c r="D37" s="63"/>
      <c r="E37" s="63"/>
      <c r="G37" s="141">
        <f>G36-G16</f>
        <v>0.46816550507652899</v>
      </c>
      <c r="I37" s="141">
        <f>I36-I16</f>
        <v>9.2662500228406497E-3</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-3.8747333645694548E-2</v>
      </c>
      <c r="D38" s="63"/>
      <c r="E38" s="63"/>
      <c r="G38" s="142">
        <f>G37/G16</f>
        <v>7.9055303119981254E-2</v>
      </c>
      <c r="I38" s="142">
        <f>I37/I16</f>
        <v>8.5011468099455492E-3</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-0.18629718016849939</v>
      </c>
      <c r="C39" s="142">
        <f>AVERAGE(C38:C38)</f>
        <v>-3.8747333645694548E-2</v>
      </c>
      <c r="D39" s="63"/>
      <c r="E39" s="63"/>
      <c r="F39" s="118">
        <f>AVERAGE(F37:G37)</f>
        <v>0.46816550507652899</v>
      </c>
      <c r="G39" s="142">
        <f>AVERAGE(G38:G38)</f>
        <v>7.9055303119981254E-2</v>
      </c>
      <c r="H39" s="118">
        <f>AVERAGE(H37:I37)</f>
        <v>9.2662500228406497E-3</v>
      </c>
      <c r="I39" s="142">
        <f>AVERAGE(I38:I38)</f>
        <v>8.5011468099455492E-3</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56.068582207710165</v>
      </c>
      <c r="D42" s="63" t="e">
        <f>#REF!</f>
        <v>#REF!</v>
      </c>
      <c r="E42" s="141" t="s">
        <v>358</v>
      </c>
      <c r="G42" s="141">
        <f>MOD(G9-$C32,360)</f>
        <v>64.55197895849119</v>
      </c>
      <c r="I42" s="141">
        <f>MOD(I9-$C32,360)</f>
        <v>29.553015391409076</v>
      </c>
      <c r="J42" s="63" t="e">
        <f>#REF!</f>
        <v>#REF!</v>
      </c>
      <c r="K42" s="141" t="s">
        <v>358</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0.35858220771016391</v>
      </c>
      <c r="E43" s="141"/>
      <c r="G43" s="141">
        <f>G42-G17</f>
        <v>-2.8680210415088112</v>
      </c>
      <c r="I43" s="141">
        <f>I42-I17</f>
        <v>-0.25698460859092265</v>
      </c>
      <c r="K43" s="141"/>
      <c r="M43" s="141"/>
      <c r="O43" s="141"/>
      <c r="Q43" s="141"/>
      <c r="S43" s="318"/>
      <c r="U43" s="141"/>
      <c r="W43" s="318"/>
      <c r="Y43" s="141"/>
      <c r="AA43" s="141"/>
      <c r="AC43" s="141"/>
      <c r="AE43" s="141"/>
      <c r="AG43" s="141"/>
      <c r="AI43" s="141"/>
      <c r="AK43" s="141"/>
      <c r="AM43" s="141"/>
      <c r="AO43" s="141"/>
    </row>
    <row r="44" spans="1:41" x14ac:dyDescent="0.3">
      <c r="A44" s="118" t="s">
        <v>56</v>
      </c>
      <c r="B44" s="118">
        <f>AVERAGE(B43:C43)</f>
        <v>0.35858220771016391</v>
      </c>
      <c r="C44" s="141"/>
      <c r="E44" s="141"/>
      <c r="F44" s="118">
        <f>AVERAGE(F43:G43)</f>
        <v>-2.8680210415088112</v>
      </c>
      <c r="G44" s="141"/>
      <c r="H44" s="118">
        <f>AVERAGE(H43:I43)</f>
        <v>-0.25698460859092265</v>
      </c>
      <c r="I44" s="141"/>
      <c r="K44" s="141"/>
      <c r="M44" s="141"/>
      <c r="O44" s="141"/>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
      <c r="A47" s="118" t="s">
        <v>44</v>
      </c>
      <c r="B47" s="72">
        <f>-C36*SIN((C42)/180*PI())</f>
        <v>-3.8346560581282874</v>
      </c>
      <c r="C47" s="72">
        <f>C36*COS((C42)/180*PI())</f>
        <v>2.5798352409986318</v>
      </c>
      <c r="D47" s="72"/>
      <c r="E47" s="72"/>
      <c r="F47" s="72">
        <f>-G36*SIN((G42)/180*PI())</f>
        <v>-5.7701627274755865</v>
      </c>
      <c r="G47" s="72">
        <f>G36*COS((G42)/180*PI())</f>
        <v>2.7458035765002324</v>
      </c>
      <c r="H47" s="72">
        <f>-I36*SIN((I42)/180*PI())</f>
        <v>-0.54218964513879975</v>
      </c>
      <c r="I47" s="72">
        <f>I36*COS((I42)/180*PI())</f>
        <v>0.95625136713290027</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0.13769736661932797</v>
      </c>
      <c r="C48" s="72">
        <f>C47-C18</f>
        <v>-0.1289047370900529</v>
      </c>
      <c r="D48" s="72"/>
      <c r="E48" s="72"/>
      <c r="F48" s="72">
        <f>F47-F18</f>
        <v>-0.30211775185210588</v>
      </c>
      <c r="G48" s="72">
        <f>G47-G18</f>
        <v>0.47191524490635084</v>
      </c>
      <c r="H48" s="72">
        <f>H47-H18</f>
        <v>-3.2295139935978323E-4</v>
      </c>
      <c r="I48" s="72">
        <f>I47-I18</f>
        <v>1.0481582134516887E-2</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1.8960564773897615E-2</v>
      </c>
      <c r="C49" s="118">
        <f>C48^2</f>
        <v>1.6616431244255662E-2</v>
      </c>
      <c r="F49" s="118">
        <f>F48^2</f>
        <v>9.1275135984170627E-2</v>
      </c>
      <c r="G49" s="118">
        <f>G48^2</f>
        <v>0.22270399837502108</v>
      </c>
      <c r="H49" s="118">
        <f>H48^2</f>
        <v>1.042976063484422E-7</v>
      </c>
      <c r="I49" s="118">
        <f>I48^2</f>
        <v>1.0986356404262358E-4</v>
      </c>
    </row>
    <row r="50" spans="1:41" s="129" customFormat="1" x14ac:dyDescent="0.3">
      <c r="A50" s="118" t="s">
        <v>47</v>
      </c>
      <c r="B50" s="72"/>
      <c r="C50" s="72">
        <f>SQRT(B49+C49)</f>
        <v>0.1886186523601345</v>
      </c>
      <c r="D50" s="72"/>
      <c r="E50" s="72"/>
      <c r="F50" s="72"/>
      <c r="G50" s="72">
        <f>SQRT(F49+G49)</f>
        <v>0.5603384105691771</v>
      </c>
      <c r="H50" s="72"/>
      <c r="I50" s="72">
        <f>SQRT(H49+I49)</f>
        <v>1.0486556234006092E-2</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4.0811505999646086E-2</v>
      </c>
      <c r="D51" s="72"/>
      <c r="E51" s="77"/>
      <c r="F51" s="72"/>
      <c r="G51" s="77">
        <f>G50/G36</f>
        <v>8.7687620942529326E-2</v>
      </c>
      <c r="H51" s="72"/>
      <c r="I51" s="77">
        <f>I50/I36</f>
        <v>9.5395962841469933E-3</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0.1886186523601345</v>
      </c>
      <c r="C53" s="144"/>
      <c r="D53" s="72"/>
      <c r="E53" s="144"/>
      <c r="F53" s="72">
        <f>MEDIAN(F50:G50)</f>
        <v>0.5603384105691771</v>
      </c>
      <c r="G53" s="144"/>
      <c r="H53" s="72">
        <f>MEDIAN(H50:I50)</f>
        <v>1.0486556234006092E-2</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0.1886186523601345</v>
      </c>
      <c r="C54" s="144"/>
      <c r="D54" s="72"/>
      <c r="E54" s="144"/>
      <c r="F54" s="72">
        <f>AVERAGE(F50:G50)</f>
        <v>0.5603384105691771</v>
      </c>
      <c r="G54" s="144"/>
      <c r="H54" s="72">
        <f>AVERAGE(H50:I50)</f>
        <v>1.0486556234006092E-2</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5.5059341624540146</v>
      </c>
      <c r="C59" s="141">
        <f>AVERAGE(C37:I37)</f>
        <v>9.7044858310290083E-2</v>
      </c>
      <c r="D59" s="302">
        <f>AVERAGE(C38:I38)</f>
        <v>1.626970542807742E-2</v>
      </c>
      <c r="F59" s="166">
        <f>AVERAGE(G36,K36)</f>
        <v>6.3901655050765287</v>
      </c>
      <c r="G59" s="141">
        <f>AVERAGE(G37:M37)</f>
        <v>0.23871587754968482</v>
      </c>
      <c r="H59" s="166">
        <f>AVERAGE(I36,M36)</f>
        <v>1.0992662500228407</v>
      </c>
      <c r="I59" s="141">
        <f>AVERAGE(I37:O37)</f>
        <v>9.2662500228406497E-3</v>
      </c>
      <c r="J59" s="302">
        <f>AVERAGE(I38:O38)</f>
        <v>8.5011468099455492E-3</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1.2504919570121318</v>
      </c>
      <c r="C60" s="118">
        <f>STDEV(C37:I37)</f>
        <v>0.33594518101796667</v>
      </c>
      <c r="D60" s="118">
        <f>STDEV(C38:I38)</f>
        <v>5.9284299645765842E-2</v>
      </c>
      <c r="F60" s="166" t="e">
        <f>STDEV(G36,K36)</f>
        <v>#DIV/0!</v>
      </c>
      <c r="G60" s="118">
        <f>STDEV(G37:M37)</f>
        <v>0.32449077512991809</v>
      </c>
      <c r="H60" s="166" t="e">
        <f>STDEV(I36,M36)</f>
        <v>#DIV/0!</v>
      </c>
      <c r="I60" s="118" t="e">
        <f>STDEV(I37:O37)</f>
        <v>#DIV/0!</v>
      </c>
      <c r="J60" s="118" t="e">
        <f>STDEV(I38:O38)</f>
        <v>#DIV/0!</v>
      </c>
      <c r="L60" s="166"/>
      <c r="R60" s="321"/>
      <c r="V60" s="321"/>
      <c r="Z60" s="166"/>
      <c r="AD60" s="166"/>
      <c r="AH60" s="166"/>
      <c r="AL60" s="166"/>
    </row>
    <row r="61" spans="1:41" x14ac:dyDescent="0.3">
      <c r="A61" s="129" t="s">
        <v>117</v>
      </c>
      <c r="B61" s="166">
        <f>AVERAGE(C42,G42)</f>
        <v>60.310280583100678</v>
      </c>
      <c r="F61" s="166">
        <f>AVERAGE(G42,K42)</f>
        <v>64.55197895849119</v>
      </c>
      <c r="H61" s="166">
        <f>AVERAGE(I42,M42)</f>
        <v>29.553015391409076</v>
      </c>
      <c r="L61" s="166"/>
      <c r="R61" s="321"/>
      <c r="V61" s="321"/>
      <c r="Z61" s="166"/>
      <c r="AD61" s="167"/>
      <c r="AH61" s="166"/>
      <c r="AL61" s="166"/>
    </row>
    <row r="62" spans="1:41" x14ac:dyDescent="0.3">
      <c r="A62" s="129" t="s">
        <v>118</v>
      </c>
      <c r="B62" s="166">
        <f>STDEV(C42,G42)</f>
        <v>5.9986673699731865</v>
      </c>
      <c r="F62" s="166" t="e">
        <f>STDEV(G42,K42)</f>
        <v>#DIV/0!</v>
      </c>
      <c r="H62" s="166" t="e">
        <f>STDEV(I42,M42)</f>
        <v>#DIV/0!</v>
      </c>
      <c r="L62" s="166"/>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AD19:AE19"/>
    <mergeCell ref="V34:W34"/>
    <mergeCell ref="Z10:AA10"/>
    <mergeCell ref="AB10:AC10"/>
    <mergeCell ref="AD10:AE10"/>
    <mergeCell ref="Z34:AA34"/>
    <mergeCell ref="AD34:AE34"/>
    <mergeCell ref="AH34:AI34"/>
    <mergeCell ref="AL34:AM34"/>
    <mergeCell ref="AH19:AI19"/>
    <mergeCell ref="AL19:AM19"/>
    <mergeCell ref="B34:C34"/>
    <mergeCell ref="F34:G34"/>
    <mergeCell ref="L34:M34"/>
    <mergeCell ref="R34:S34"/>
    <mergeCell ref="B19:C19"/>
    <mergeCell ref="F19:G19"/>
    <mergeCell ref="L19:M19"/>
    <mergeCell ref="R19:S19"/>
    <mergeCell ref="H19:I19"/>
    <mergeCell ref="H34:I34"/>
    <mergeCell ref="V19:W19"/>
    <mergeCell ref="Z19:AA19"/>
  </mergeCells>
  <pageMargins left="0.7" right="0.7" top="0.75" bottom="0.75" header="0.3" footer="0.3"/>
  <pageSetup scale="23"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C9" sqref="C9"/>
    </sheetView>
  </sheetViews>
  <sheetFormatPr defaultColWidth="9.109375" defaultRowHeight="14.4" x14ac:dyDescent="0.3"/>
  <cols>
    <col min="1" max="1" width="28" style="118" customWidth="1"/>
    <col min="2"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3</v>
      </c>
      <c r="E2" s="116" t="s">
        <v>439</v>
      </c>
      <c r="F2" s="116"/>
      <c r="G2" s="344" t="s">
        <v>435</v>
      </c>
      <c r="H2" s="344"/>
      <c r="I2" s="344" t="s">
        <v>436</v>
      </c>
      <c r="J2" s="344"/>
      <c r="K2" s="345" t="s">
        <v>373</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748.56500000000005</v>
      </c>
      <c r="C4" s="225">
        <v>522.99400000000003</v>
      </c>
      <c r="D4" s="63">
        <v>242</v>
      </c>
      <c r="E4" s="63">
        <v>631</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
      <c r="A5" s="118" t="s">
        <v>2</v>
      </c>
      <c r="B5" s="217">
        <v>754.875</v>
      </c>
      <c r="C5" s="217">
        <v>534.38099999999997</v>
      </c>
      <c r="D5" s="63">
        <v>1070</v>
      </c>
      <c r="E5" s="63">
        <v>414</v>
      </c>
      <c r="F5" s="217">
        <v>606.39</v>
      </c>
      <c r="G5" s="217">
        <v>462.41</v>
      </c>
      <c r="H5" s="217">
        <v>559.30999999999995</v>
      </c>
      <c r="I5" s="217">
        <v>450.67</v>
      </c>
      <c r="J5" s="63">
        <v>516</v>
      </c>
      <c r="K5" s="63">
        <v>299</v>
      </c>
      <c r="M5" s="63"/>
      <c r="N5" s="63"/>
      <c r="O5" s="63"/>
      <c r="P5" s="217"/>
      <c r="Q5" s="217"/>
      <c r="T5" s="63"/>
      <c r="U5" s="63"/>
      <c r="X5" s="63"/>
      <c r="Y5" s="63"/>
      <c r="AB5" s="63"/>
      <c r="AC5" s="63"/>
      <c r="AF5" s="63"/>
      <c r="AG5" s="63"/>
      <c r="AJ5" s="63"/>
      <c r="AK5" s="63"/>
      <c r="AL5" s="217"/>
      <c r="AM5" s="217"/>
      <c r="AN5" s="63"/>
      <c r="AO5" s="63"/>
      <c r="AQ5" s="217"/>
      <c r="AR5" s="217"/>
    </row>
    <row r="6" spans="1:44" x14ac:dyDescent="0.3">
      <c r="A6" s="118" t="s">
        <v>4</v>
      </c>
      <c r="B6" s="118">
        <f t="shared" ref="B6:K6" si="0">B5-B4</f>
        <v>6.3099999999999454</v>
      </c>
      <c r="C6" s="118">
        <f t="shared" si="0"/>
        <v>11.386999999999944</v>
      </c>
      <c r="D6" s="63">
        <f>D5-D4</f>
        <v>828</v>
      </c>
      <c r="E6" s="63">
        <f>E5-E4</f>
        <v>-217</v>
      </c>
      <c r="F6" s="118">
        <f t="shared" si="0"/>
        <v>52.539999999999964</v>
      </c>
      <c r="G6" s="118">
        <f t="shared" si="0"/>
        <v>19.700000000000045</v>
      </c>
      <c r="H6" s="118">
        <f t="shared" si="0"/>
        <v>5.4599999999999227</v>
      </c>
      <c r="I6" s="118">
        <f t="shared" si="0"/>
        <v>7.9600000000000364</v>
      </c>
      <c r="J6" s="63">
        <f t="shared" si="0"/>
        <v>-607</v>
      </c>
      <c r="K6" s="63">
        <f t="shared" si="0"/>
        <v>52</v>
      </c>
      <c r="N6" s="63"/>
      <c r="O6" s="63"/>
      <c r="P6" s="63"/>
      <c r="Q6" s="63"/>
      <c r="T6" s="63"/>
      <c r="U6" s="63"/>
      <c r="X6" s="63"/>
      <c r="Y6" s="63"/>
      <c r="AB6" s="63"/>
      <c r="AC6" s="63"/>
      <c r="AF6" s="63"/>
      <c r="AG6" s="63"/>
      <c r="AJ6" s="63"/>
      <c r="AK6" s="63"/>
      <c r="AN6" s="63"/>
      <c r="AO6" s="63"/>
    </row>
    <row r="7" spans="1:44" x14ac:dyDescent="0.3">
      <c r="A7" s="118" t="s">
        <v>5</v>
      </c>
      <c r="B7" s="118">
        <f t="shared" ref="B7:K7" si="1">B6^2</f>
        <v>39.816099999999309</v>
      </c>
      <c r="C7" s="118">
        <f t="shared" si="1"/>
        <v>129.66376899999872</v>
      </c>
      <c r="D7" s="63">
        <f t="shared" si="1"/>
        <v>685584</v>
      </c>
      <c r="E7" s="63">
        <f t="shared" si="1"/>
        <v>47089</v>
      </c>
      <c r="F7" s="118">
        <f t="shared" si="1"/>
        <v>2760.4515999999962</v>
      </c>
      <c r="G7" s="118">
        <f t="shared" si="1"/>
        <v>388.09000000000179</v>
      </c>
      <c r="H7" s="118">
        <f t="shared" si="1"/>
        <v>29.811599999999157</v>
      </c>
      <c r="I7" s="118">
        <f t="shared" si="1"/>
        <v>63.361600000000578</v>
      </c>
      <c r="J7" s="63">
        <f t="shared" si="1"/>
        <v>368449</v>
      </c>
      <c r="K7" s="63">
        <f t="shared" si="1"/>
        <v>2704</v>
      </c>
      <c r="N7" s="63"/>
      <c r="O7" s="63"/>
      <c r="P7" s="63"/>
      <c r="Q7" s="63"/>
      <c r="T7" s="63"/>
      <c r="U7" s="63"/>
      <c r="X7" s="63"/>
      <c r="Y7" s="63"/>
      <c r="AB7" s="63"/>
      <c r="AC7" s="63"/>
      <c r="AF7" s="63"/>
      <c r="AG7" s="63"/>
      <c r="AJ7" s="63"/>
      <c r="AK7" s="63"/>
      <c r="AN7" s="63"/>
      <c r="AO7" s="63"/>
    </row>
    <row r="8" spans="1:44" x14ac:dyDescent="0.3">
      <c r="A8" s="118" t="s">
        <v>6</v>
      </c>
      <c r="C8" s="118">
        <f>SQRT(SUM(B7:C7))</f>
        <v>13.018443416937297</v>
      </c>
      <c r="D8" s="63"/>
      <c r="E8" s="63">
        <f>SQRT(SUM(D7:E7))</f>
        <v>855.96320014355763</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
      <c r="A9" s="118" t="s">
        <v>7</v>
      </c>
      <c r="C9" s="118">
        <f>MOD(ATAN2(C6,B6)*180/PI()+270,360)</f>
        <v>298.99262022355106</v>
      </c>
      <c r="D9" s="63"/>
      <c r="E9" s="63">
        <f>MOD(ATAN2(E6,D6)*180/PI()+270,360)</f>
        <v>14.685643592851648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8" customFormat="1" ht="117" customHeight="1" x14ac:dyDescent="0.3">
      <c r="A10" s="250" t="s">
        <v>40</v>
      </c>
      <c r="B10" s="430" t="s">
        <v>421</v>
      </c>
      <c r="C10" s="430"/>
      <c r="D10" s="430"/>
      <c r="E10" s="430"/>
      <c r="F10" s="430" t="s">
        <v>438</v>
      </c>
      <c r="G10" s="430"/>
      <c r="H10" s="430" t="s">
        <v>438</v>
      </c>
      <c r="I10" s="430"/>
      <c r="J10" s="430"/>
      <c r="K10" s="430"/>
      <c r="L10" s="434"/>
      <c r="M10" s="434"/>
      <c r="N10" s="430"/>
      <c r="O10" s="430"/>
      <c r="P10" s="430"/>
      <c r="Q10" s="430"/>
      <c r="R10" s="434"/>
      <c r="S10" s="434"/>
      <c r="T10" s="430"/>
      <c r="U10" s="430"/>
      <c r="V10" s="434"/>
      <c r="W10" s="434"/>
      <c r="X10" s="430"/>
      <c r="Y10" s="430"/>
      <c r="Z10" s="430"/>
      <c r="AA10" s="430"/>
      <c r="AB10" s="430"/>
      <c r="AC10" s="430"/>
      <c r="AD10" s="430"/>
      <c r="AE10" s="430"/>
      <c r="AH10" s="430"/>
      <c r="AI10" s="430"/>
      <c r="AL10" s="430"/>
      <c r="AM10" s="430"/>
    </row>
    <row r="11" spans="1:44" s="127" customFormat="1" x14ac:dyDescent="0.3">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6" customFormat="1" x14ac:dyDescent="0.3">
      <c r="B12" s="336" t="s">
        <v>62</v>
      </c>
      <c r="C12" s="336" t="s">
        <v>63</v>
      </c>
      <c r="D12" s="69"/>
      <c r="E12" s="69"/>
      <c r="F12" s="336" t="s">
        <v>62</v>
      </c>
      <c r="G12" s="336" t="s">
        <v>63</v>
      </c>
      <c r="H12" s="336" t="s">
        <v>62</v>
      </c>
      <c r="I12" s="336"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
      <c r="A16" s="118" t="s">
        <v>13</v>
      </c>
      <c r="C16" s="147">
        <v>1.677</v>
      </c>
      <c r="D16" s="63"/>
      <c r="E16" s="111">
        <f>8*15.0412*COS((31+31/60+38/3600)*PI()/180)</f>
        <v>102.56796673953113</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41">
        <v>192.7</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
      <c r="A18" s="118" t="s">
        <v>32</v>
      </c>
      <c r="B18" s="72">
        <f>-C16*SIN((C17)/180*PI())</f>
        <v>0.36868208469970831</v>
      </c>
      <c r="C18" s="72">
        <f>C16*COS((C17)/180*PI())</f>
        <v>-1.6359714301972015</v>
      </c>
      <c r="D18" s="72">
        <f>-E16*SIN((E17)/180*PI())</f>
        <v>102.56796673953113</v>
      </c>
      <c r="E18" s="72">
        <f>E16*COS((E17)/180*PI())</f>
        <v>6.2830492987027643E-15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7" customFormat="1" ht="69" customHeight="1" x14ac:dyDescent="0.3">
      <c r="A19" s="251" t="s">
        <v>40</v>
      </c>
      <c r="B19" s="388"/>
      <c r="C19" s="388"/>
      <c r="D19" s="339"/>
      <c r="E19" s="339"/>
      <c r="F19" s="388"/>
      <c r="G19" s="388"/>
      <c r="H19" s="388"/>
      <c r="I19" s="388"/>
      <c r="J19" s="339"/>
      <c r="K19" s="339"/>
      <c r="L19" s="388"/>
      <c r="M19" s="388"/>
      <c r="N19" s="339"/>
      <c r="O19" s="339"/>
      <c r="P19" s="339"/>
      <c r="Q19" s="339"/>
      <c r="R19" s="432"/>
      <c r="S19" s="432"/>
      <c r="T19" s="339"/>
      <c r="U19" s="339"/>
      <c r="V19" s="432"/>
      <c r="W19" s="432"/>
      <c r="X19" s="339"/>
      <c r="Y19" s="339"/>
      <c r="Z19" s="388"/>
      <c r="AA19" s="388"/>
      <c r="AB19" s="339"/>
      <c r="AC19" s="339"/>
      <c r="AD19" s="388"/>
      <c r="AE19" s="388"/>
      <c r="AF19" s="339"/>
      <c r="AG19" s="339"/>
      <c r="AH19" s="388"/>
      <c r="AI19" s="388"/>
      <c r="AJ19" s="339"/>
      <c r="AK19" s="339"/>
      <c r="AL19" s="388"/>
      <c r="AM19" s="388"/>
      <c r="AN19" s="339"/>
      <c r="AO19" s="339"/>
    </row>
    <row r="20" spans="1:41" s="127" customFormat="1" x14ac:dyDescent="0.3">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0.12881724383563278</v>
      </c>
      <c r="D21" s="63"/>
      <c r="E21" s="118">
        <f>E16/E8</f>
        <v>0.11982754249520186</v>
      </c>
      <c r="G21" s="118">
        <f>G16/G8</f>
        <v>0.10553917261637515</v>
      </c>
      <c r="I21" s="118">
        <f>I16/I8</f>
        <v>0.11292263202557981</v>
      </c>
      <c r="J21" s="63"/>
      <c r="K21" s="118">
        <f>K16/K8</f>
        <v>0.1176364953377909</v>
      </c>
      <c r="N21" s="63"/>
      <c r="P21" s="63"/>
      <c r="T21" s="63"/>
      <c r="X21" s="63"/>
      <c r="AB21" s="63"/>
      <c r="AF21" s="63"/>
      <c r="AJ21" s="63"/>
      <c r="AN21" s="63"/>
    </row>
    <row r="22" spans="1:41" x14ac:dyDescent="0.3">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0.12881724383563278</v>
      </c>
      <c r="D23" s="63"/>
      <c r="E23" s="118">
        <f>E21-$C22</f>
        <v>0.11982754249520186</v>
      </c>
      <c r="G23" s="118">
        <f>G21-$C22</f>
        <v>0.10553917261637515</v>
      </c>
      <c r="I23" s="118">
        <f>I21-$C22</f>
        <v>0.11292263202557981</v>
      </c>
      <c r="J23" s="63"/>
      <c r="K23" s="118">
        <f>K21-$C22</f>
        <v>0.1176364953377909</v>
      </c>
      <c r="N23" s="63"/>
      <c r="P23" s="63"/>
      <c r="T23" s="63"/>
      <c r="X23" s="63"/>
      <c r="AB23" s="63"/>
      <c r="AF23" s="63"/>
      <c r="AJ23" s="63"/>
      <c r="AN23" s="63"/>
    </row>
    <row r="24" spans="1:41" x14ac:dyDescent="0.3">
      <c r="A24" s="139" t="s">
        <v>64</v>
      </c>
      <c r="C24" s="74">
        <f>MOD(C9-C17,360)</f>
        <v>106.29262022355107</v>
      </c>
      <c r="D24" s="63"/>
      <c r="E24" s="74">
        <f>MOD(E9-E17,360)</f>
        <v>104.68564359285165</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
      <c r="A26" s="118" t="s">
        <v>35</v>
      </c>
      <c r="C26" s="118">
        <f>C24-$C25</f>
        <v>106.29262022355107</v>
      </c>
      <c r="D26" s="63"/>
      <c r="E26" s="118">
        <f>E24-$C25</f>
        <v>104.68564359285165</v>
      </c>
      <c r="G26" s="118">
        <f>G24-$C25</f>
        <v>272.02634499273466</v>
      </c>
      <c r="I26" s="118">
        <f>I24-$C25</f>
        <v>274.63738142565256</v>
      </c>
      <c r="J26" s="63"/>
      <c r="K26" s="118">
        <f>K24-$C25</f>
        <v>274.89641520602032</v>
      </c>
      <c r="N26" s="63"/>
      <c r="P26" s="63"/>
      <c r="T26" s="63"/>
      <c r="X26" s="63"/>
      <c r="AB26" s="63"/>
      <c r="AF26" s="63"/>
      <c r="AJ26" s="63"/>
      <c r="AN26" s="63"/>
    </row>
    <row r="27" spans="1:41" x14ac:dyDescent="0.3">
      <c r="A27" s="118" t="s">
        <v>67</v>
      </c>
      <c r="C27" s="118">
        <f>SQRT(C16)</f>
        <v>1.2949903474543738</v>
      </c>
      <c r="D27" s="63"/>
      <c r="E27" s="63">
        <f>SQRT(E16)</f>
        <v>10.127584447415442</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
      <c r="A28" s="129" t="s">
        <v>68</v>
      </c>
      <c r="C28" s="118">
        <f>C27*C21</f>
        <v>0.16681708735282089</v>
      </c>
      <c r="D28" s="63"/>
      <c r="E28" s="118">
        <f>E27*E21</f>
        <v>1.2135635557464193</v>
      </c>
      <c r="G28" s="118">
        <f>G27*G21</f>
        <v>0.2568312625376501</v>
      </c>
      <c r="I28" s="118">
        <f>I27*I21</f>
        <v>0.11789468901399719</v>
      </c>
      <c r="J28" s="63"/>
      <c r="K28" s="118">
        <f>K27*K21</f>
        <v>0.99586704241455382</v>
      </c>
      <c r="N28" s="63"/>
      <c r="P28" s="63"/>
      <c r="T28" s="63"/>
      <c r="X28" s="63"/>
      <c r="AB28" s="63"/>
      <c r="AF28" s="63"/>
      <c r="AJ28" s="63"/>
      <c r="AN28" s="63"/>
    </row>
    <row r="29" spans="1:41" x14ac:dyDescent="0.3">
      <c r="A29" s="139" t="s">
        <v>69</v>
      </c>
      <c r="B29" s="118" t="s">
        <v>357</v>
      </c>
      <c r="C29" s="139">
        <f>SUM(B28:K28)/SUM(B27:K27)</f>
        <v>0.11773529509727011</v>
      </c>
      <c r="D29" s="63"/>
      <c r="E29" s="63"/>
      <c r="F29" s="118" t="s">
        <v>357</v>
      </c>
      <c r="G29" s="139">
        <f>SUM(F28:I28)/SUM(F27:I27)</f>
        <v>0.10775583820345658</v>
      </c>
      <c r="H29" s="118" t="s">
        <v>357</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3.3368716723996055E-3</v>
      </c>
      <c r="C30" s="139">
        <f>C21-$C$29</f>
        <v>1.1081948738362671E-2</v>
      </c>
      <c r="D30" s="63"/>
      <c r="E30" s="139">
        <f>E21-$C29</f>
        <v>2.0922473979317485E-3</v>
      </c>
      <c r="F30" s="118">
        <f>SQRT(SUMSQ(G30:I30)/SUM(G27:I27))</f>
        <v>7.0805454947567171E-3</v>
      </c>
      <c r="G30" s="139">
        <f>G21-$C$29</f>
        <v>-1.2196122480894966E-2</v>
      </c>
      <c r="H30" s="118">
        <f>SQRT(SUMSQ(I30:K30)/SUM(I27:K27))</f>
        <v>1.5609695999415558E-3</v>
      </c>
      <c r="I30" s="139">
        <f>I21-$C$29</f>
        <v>-4.8126630716903013E-3</v>
      </c>
      <c r="J30" s="63"/>
      <c r="K30" s="139">
        <f>K21-$C29</f>
        <v>-9.8799759479212268E-5</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137.64791719513221</v>
      </c>
      <c r="D31" s="63"/>
      <c r="E31" s="63">
        <f>E27*E24</f>
        <v>1060.2126959186403</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
      <c r="A32" s="261" t="s">
        <v>120</v>
      </c>
      <c r="C32" s="139">
        <f>MOD(SUM(B31:E31)/SUM(B27:E27),360)</f>
        <v>104.8678283684134</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0.42500211660721543</v>
      </c>
      <c r="C33" s="139">
        <f>C24-$C$32</f>
        <v>1.4247918551376699</v>
      </c>
      <c r="D33" s="63"/>
      <c r="E33" s="139">
        <f>E24-$C$32</f>
        <v>-0.18218477556175117</v>
      </c>
      <c r="F33" s="118">
        <f>SQRT(SUMSQ(G33:I33)/SUM(G27:I27))</f>
        <v>134.41958903745194</v>
      </c>
      <c r="G33" s="139">
        <f>G24-$C$32</f>
        <v>167.15851662432127</v>
      </c>
      <c r="H33" s="118">
        <f>SQRT(SUMSQ(I33:K33)/SUM(I27:K27))</f>
        <v>77.915455878086419</v>
      </c>
      <c r="I33" s="139">
        <f>I24-$C$32</f>
        <v>169.76955305723916</v>
      </c>
      <c r="J33" s="63"/>
      <c r="K33" s="139">
        <f>K24-$C$32</f>
        <v>170.02858683760692</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7" customFormat="1" ht="75.75" customHeight="1" x14ac:dyDescent="0.3">
      <c r="A34" s="251" t="s">
        <v>40</v>
      </c>
      <c r="B34" s="384"/>
      <c r="C34" s="384"/>
      <c r="D34" s="339"/>
      <c r="E34" s="339"/>
      <c r="F34" s="384"/>
      <c r="G34" s="384"/>
      <c r="H34" s="384"/>
      <c r="I34" s="384"/>
      <c r="J34" s="339"/>
      <c r="K34" s="339"/>
      <c r="L34" s="384"/>
      <c r="M34" s="384"/>
      <c r="N34" s="339"/>
      <c r="O34" s="339"/>
      <c r="P34" s="339"/>
      <c r="Q34" s="339"/>
      <c r="R34" s="433"/>
      <c r="S34" s="433"/>
      <c r="T34" s="339"/>
      <c r="U34" s="339"/>
      <c r="V34" s="433"/>
      <c r="W34" s="433"/>
      <c r="X34" s="339"/>
      <c r="Y34" s="339"/>
      <c r="Z34" s="384"/>
      <c r="AA34" s="384"/>
      <c r="AB34" s="339"/>
      <c r="AC34" s="339"/>
      <c r="AD34" s="384"/>
      <c r="AE34" s="384"/>
      <c r="AF34" s="339"/>
      <c r="AG34" s="339"/>
      <c r="AH34" s="384"/>
      <c r="AI34" s="384"/>
      <c r="AJ34" s="339"/>
      <c r="AK34" s="339"/>
      <c r="AL34" s="384"/>
      <c r="AM34" s="384"/>
      <c r="AN34" s="339"/>
      <c r="AO34" s="339"/>
    </row>
    <row r="35" spans="1:41" s="127" customFormat="1" x14ac:dyDescent="0.3">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1.532730277400226</v>
      </c>
      <c r="D36" s="63" t="e">
        <f>A36*#REF!/A29</f>
        <v>#VALUE!</v>
      </c>
      <c r="E36" s="63" t="s">
        <v>358</v>
      </c>
      <c r="G36" s="147">
        <f>G8*$C29</f>
        <v>6.6063472005829773</v>
      </c>
      <c r="I36" s="147">
        <f>I8*$C29</f>
        <v>1.136454839513076</v>
      </c>
      <c r="J36" s="63" t="e">
        <f>G36*#REF!/G29</f>
        <v>#REF!</v>
      </c>
      <c r="K36" s="63" t="s">
        <v>358</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-0.144269722599774</v>
      </c>
      <c r="D37" s="63"/>
      <c r="E37" s="63"/>
      <c r="G37" s="141">
        <f>G36-G16</f>
        <v>0.6843472005829776</v>
      </c>
      <c r="I37" s="141">
        <f>I36-I16</f>
        <v>4.6454839513075941E-2</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-8.6028457125685145E-2</v>
      </c>
      <c r="D38" s="63"/>
      <c r="E38" s="63"/>
      <c r="G38" s="142">
        <f>G37/G16</f>
        <v>0.11556014869688916</v>
      </c>
      <c r="I38" s="142">
        <f>I37/I16</f>
        <v>4.2619118819335722E-2</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-0.144269722599774</v>
      </c>
      <c r="C39" s="142">
        <f>AVERAGE(C38:C38)</f>
        <v>-8.6028457125685145E-2</v>
      </c>
      <c r="D39" s="63"/>
      <c r="E39" s="63"/>
      <c r="F39" s="118">
        <f>AVERAGE(F37:G37)</f>
        <v>0.6843472005829776</v>
      </c>
      <c r="G39" s="142">
        <f>AVERAGE(G38:G38)</f>
        <v>0.11556014869688916</v>
      </c>
      <c r="H39" s="118">
        <f>AVERAGE(H37:I37)</f>
        <v>4.6454839513075941E-2</v>
      </c>
      <c r="I39" s="142">
        <f>AVERAGE(I38:I38)</f>
        <v>4.2619118819335722E-2</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194.12479185513766</v>
      </c>
      <c r="D42" s="63" t="e">
        <f>#REF!</f>
        <v>#REF!</v>
      </c>
      <c r="E42" s="141" t="s">
        <v>358</v>
      </c>
      <c r="G42" s="141">
        <f>MOD(G9-$C32,360)</f>
        <v>234.57851662432128</v>
      </c>
      <c r="I42" s="141">
        <f>MOD(I9-$C32,360)</f>
        <v>199.57955305723917</v>
      </c>
      <c r="J42" s="63" t="e">
        <f>#REF!</f>
        <v>#REF!</v>
      </c>
      <c r="K42" s="141" t="s">
        <v>358</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1.4247918551376699</v>
      </c>
      <c r="E43" s="141"/>
      <c r="G43" s="141">
        <f>G42-G17</f>
        <v>167.15851662432129</v>
      </c>
      <c r="I43" s="141">
        <f>I42-I17</f>
        <v>169.76955305723916</v>
      </c>
      <c r="K43" s="141"/>
      <c r="M43" s="141"/>
      <c r="O43" s="141"/>
      <c r="Q43" s="141"/>
      <c r="S43" s="318"/>
      <c r="U43" s="141"/>
      <c r="W43" s="318"/>
      <c r="Y43" s="141"/>
      <c r="AA43" s="141"/>
      <c r="AC43" s="141"/>
      <c r="AE43" s="141"/>
      <c r="AG43" s="141"/>
      <c r="AI43" s="141"/>
      <c r="AK43" s="141"/>
      <c r="AM43" s="141"/>
      <c r="AO43" s="141"/>
    </row>
    <row r="44" spans="1:41" x14ac:dyDescent="0.3">
      <c r="A44" s="118" t="s">
        <v>56</v>
      </c>
      <c r="B44" s="118">
        <f>AVERAGE(B43:C43)</f>
        <v>1.4247918551376699</v>
      </c>
      <c r="C44" s="141"/>
      <c r="E44" s="141"/>
      <c r="F44" s="118">
        <f>AVERAGE(F43:G43)</f>
        <v>167.15851662432129</v>
      </c>
      <c r="G44" s="141"/>
      <c r="H44" s="118">
        <f>AVERAGE(H43:I43)</f>
        <v>169.76955305723916</v>
      </c>
      <c r="I44" s="141"/>
      <c r="K44" s="141"/>
      <c r="M44" s="141"/>
      <c r="O44" s="141"/>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
      <c r="A47" s="118" t="s">
        <v>44</v>
      </c>
      <c r="B47" s="72">
        <f>-C36*SIN((C42)/180*PI())</f>
        <v>0.3740393000130372</v>
      </c>
      <c r="C47" s="72">
        <f>C36*COS((C42)/180*PI())</f>
        <v>-1.4863904955647189</v>
      </c>
      <c r="D47" s="72"/>
      <c r="E47" s="72"/>
      <c r="F47" s="72">
        <f>-G36*SIN((G42)/180*PI())</f>
        <v>5.3835819229737494</v>
      </c>
      <c r="G47" s="72">
        <f>G36*COS((G42)/180*PI())</f>
        <v>-3.8289514247742558</v>
      </c>
      <c r="H47" s="72">
        <f>-I36*SIN((I42)/180*PI())</f>
        <v>0.38084347229920573</v>
      </c>
      <c r="I47" s="72">
        <f>I36*COS((I42)/180*PI())</f>
        <v>-1.0707417297648278</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5.3572153133288891E-3</v>
      </c>
      <c r="C48" s="72">
        <f>C47-C18</f>
        <v>0.14958093463248257</v>
      </c>
      <c r="D48" s="72"/>
      <c r="E48" s="72"/>
      <c r="F48" s="72">
        <f>F47-F18</f>
        <v>10.85162689859723</v>
      </c>
      <c r="G48" s="72">
        <f>G47-G18</f>
        <v>-6.1028397563681374</v>
      </c>
      <c r="H48" s="72">
        <f>H47-H18</f>
        <v>0.92271016603864564</v>
      </c>
      <c r="I48" s="72">
        <f>I47-I18</f>
        <v>-2.0165115147632111</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2.8699755913365547E-5</v>
      </c>
      <c r="C49" s="118">
        <f>C48^2</f>
        <v>2.2374456005527021E-2</v>
      </c>
      <c r="F49" s="118">
        <f>F48^2</f>
        <v>117.75780634635893</v>
      </c>
      <c r="G49" s="118">
        <f>G48^2</f>
        <v>37.244653091907509</v>
      </c>
      <c r="H49" s="118">
        <f>H48^2</f>
        <v>0.85139405051106498</v>
      </c>
      <c r="I49" s="118">
        <f>I48^2</f>
        <v>4.0663186891726202</v>
      </c>
    </row>
    <row r="50" spans="1:41" s="129" customFormat="1" x14ac:dyDescent="0.3">
      <c r="A50" s="118" t="s">
        <v>47</v>
      </c>
      <c r="B50" s="72"/>
      <c r="C50" s="72">
        <f>SQRT(B49+C49)</f>
        <v>0.14967683775868726</v>
      </c>
      <c r="D50" s="72"/>
      <c r="E50" s="72"/>
      <c r="F50" s="72"/>
      <c r="G50" s="72">
        <f>SQRT(F49+G49)</f>
        <v>12.44999837101461</v>
      </c>
      <c r="H50" s="72"/>
      <c r="I50" s="72">
        <f>SQRT(H49+I49)</f>
        <v>2.2175916530515001</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9.7653735928388455E-2</v>
      </c>
      <c r="D51" s="72"/>
      <c r="E51" s="77"/>
      <c r="F51" s="72"/>
      <c r="G51" s="77">
        <f>G50/G36</f>
        <v>1.8845510223737498</v>
      </c>
      <c r="H51" s="72"/>
      <c r="I51" s="77">
        <f>I50/I36</f>
        <v>1.9513240438147517</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0.14967683775868726</v>
      </c>
      <c r="C53" s="144"/>
      <c r="D53" s="72"/>
      <c r="E53" s="144"/>
      <c r="F53" s="72">
        <f>MEDIAN(F50:G50)</f>
        <v>12.44999837101461</v>
      </c>
      <c r="G53" s="144"/>
      <c r="H53" s="72">
        <f>MEDIAN(H50:I50)</f>
        <v>2.2175916530515001</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0.14967683775868726</v>
      </c>
      <c r="C54" s="144"/>
      <c r="D54" s="72"/>
      <c r="E54" s="144"/>
      <c r="F54" s="72">
        <f>AVERAGE(F50:G50)</f>
        <v>12.44999837101461</v>
      </c>
      <c r="G54" s="144"/>
      <c r="H54" s="72">
        <f>AVERAGE(H50:I50)</f>
        <v>2.2175916530515001</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4.0695387389916018</v>
      </c>
      <c r="C59" s="141">
        <f>AVERAGE(C37:I37)</f>
        <v>0.19551077249875984</v>
      </c>
      <c r="D59" s="302">
        <f>AVERAGE(C38:I38)</f>
        <v>2.4050270130179911E-2</v>
      </c>
      <c r="F59" s="166">
        <f>AVERAGE(G36,K36)</f>
        <v>6.6063472005829773</v>
      </c>
      <c r="G59" s="141">
        <f>AVERAGE(G37:M37)</f>
        <v>0.36540102004802677</v>
      </c>
      <c r="H59" s="166">
        <f>AVERAGE(I36,M36)</f>
        <v>1.136454839513076</v>
      </c>
      <c r="I59" s="141">
        <f>AVERAGE(I37:O37)</f>
        <v>4.6454839513075941E-2</v>
      </c>
      <c r="J59" s="302">
        <f>AVERAGE(I38:O38)</f>
        <v>4.2619118819335722E-2</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3.58758893152535</v>
      </c>
      <c r="C60" s="118">
        <f>STDEV(C37:I37)</f>
        <v>0.43395247978884399</v>
      </c>
      <c r="D60" s="118">
        <f>STDEV(C38:I38)</f>
        <v>0.10206906047183388</v>
      </c>
      <c r="F60" s="166" t="e">
        <f>STDEV(G36,K36)</f>
        <v>#DIV/0!</v>
      </c>
      <c r="G60" s="118">
        <f>STDEV(G37:M37)</f>
        <v>0.45105801417962516</v>
      </c>
      <c r="H60" s="166" t="e">
        <f>STDEV(I36,M36)</f>
        <v>#DIV/0!</v>
      </c>
      <c r="I60" s="118" t="e">
        <f>STDEV(I37:O37)</f>
        <v>#DIV/0!</v>
      </c>
      <c r="J60" s="118" t="e">
        <f>STDEV(I38:O38)</f>
        <v>#DIV/0!</v>
      </c>
      <c r="L60" s="166"/>
      <c r="R60" s="321"/>
      <c r="V60" s="321"/>
      <c r="Z60" s="166"/>
      <c r="AD60" s="166"/>
      <c r="AH60" s="166"/>
      <c r="AL60" s="166"/>
    </row>
    <row r="61" spans="1:41" x14ac:dyDescent="0.3">
      <c r="A61" s="129" t="s">
        <v>117</v>
      </c>
      <c r="B61" s="166">
        <f>AVERAGE(C42,G42)</f>
        <v>214.35165423972947</v>
      </c>
      <c r="F61" s="166">
        <f>AVERAGE(G42,K42)</f>
        <v>234.57851662432128</v>
      </c>
      <c r="H61" s="166">
        <f>AVERAGE(I42,M42)</f>
        <v>199.57955305723917</v>
      </c>
      <c r="L61" s="166"/>
      <c r="R61" s="321"/>
      <c r="V61" s="321"/>
      <c r="Z61" s="166"/>
      <c r="AD61" s="167"/>
      <c r="AH61" s="166"/>
      <c r="AL61" s="166"/>
    </row>
    <row r="62" spans="1:41" x14ac:dyDescent="0.3">
      <c r="A62" s="129" t="s">
        <v>118</v>
      </c>
      <c r="B62" s="166">
        <f>STDEV(C42,G42)</f>
        <v>28.605103108543943</v>
      </c>
      <c r="F62" s="166" t="e">
        <f>STDEV(G42,K42)</f>
        <v>#DIV/0!</v>
      </c>
      <c r="H62" s="166" t="e">
        <f>STDEV(I42,M42)</f>
        <v>#DIV/0!</v>
      </c>
      <c r="L62" s="166"/>
      <c r="R62" s="321"/>
      <c r="V62" s="321"/>
      <c r="Z62" s="166"/>
      <c r="AD62" s="166"/>
      <c r="AH62" s="166"/>
      <c r="AL62" s="166"/>
    </row>
  </sheetData>
  <mergeCells count="37">
    <mergeCell ref="V34:W34"/>
    <mergeCell ref="Z34:AA34"/>
    <mergeCell ref="AD34:AE34"/>
    <mergeCell ref="AH34:AI34"/>
    <mergeCell ref="AL34:AM34"/>
    <mergeCell ref="V19:W19"/>
    <mergeCell ref="Z19:AA19"/>
    <mergeCell ref="AD19:AE19"/>
    <mergeCell ref="AH19:AI19"/>
    <mergeCell ref="AL19:AM19"/>
    <mergeCell ref="B34:C34"/>
    <mergeCell ref="F34:G34"/>
    <mergeCell ref="H34:I34"/>
    <mergeCell ref="L34:M34"/>
    <mergeCell ref="R34:S34"/>
    <mergeCell ref="Z10:AA10"/>
    <mergeCell ref="AB10:AC10"/>
    <mergeCell ref="AD10:AE10"/>
    <mergeCell ref="AH10:AI10"/>
    <mergeCell ref="AL10:AM10"/>
    <mergeCell ref="B19:C19"/>
    <mergeCell ref="F19:G19"/>
    <mergeCell ref="H19:I19"/>
    <mergeCell ref="L19:M19"/>
    <mergeCell ref="R19:S19"/>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workbookViewId="0">
      <pane xSplit="1" ySplit="2" topLeftCell="B24" activePane="bottomRight" state="frozenSplit"/>
      <selection pane="topRight"/>
      <selection pane="bottomLeft" activeCell="A3" sqref="A3"/>
      <selection pane="bottomRight" activeCell="C22" sqref="C22"/>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 min="10" max="10" width="9.5546875" bestFit="1" customWidth="1"/>
    <col min="11" max="11" width="12" customWidth="1"/>
    <col min="13" max="13" width="11.109375" customWidth="1"/>
    <col min="15" max="15" width="9.5546875" customWidth="1"/>
  </cols>
  <sheetData>
    <row r="1" spans="1:21" s="19" customFormat="1" x14ac:dyDescent="0.3">
      <c r="A1" s="20" t="s">
        <v>39</v>
      </c>
      <c r="B1" s="20"/>
      <c r="C1" s="20"/>
      <c r="D1" s="20"/>
      <c r="E1" s="20"/>
      <c r="F1" s="20"/>
      <c r="G1" s="20"/>
      <c r="H1" s="20"/>
      <c r="I1" s="20"/>
      <c r="J1" s="20"/>
      <c r="K1" s="20"/>
      <c r="L1" s="20"/>
      <c r="M1" s="20"/>
      <c r="N1" s="20"/>
      <c r="O1" s="20"/>
      <c r="P1" s="20"/>
      <c r="Q1" s="20"/>
      <c r="R1" s="20"/>
      <c r="S1" s="20"/>
      <c r="T1" s="20"/>
      <c r="U1" s="20"/>
    </row>
    <row r="2" spans="1:21" s="342" customFormat="1" x14ac:dyDescent="0.3">
      <c r="C2" s="342" t="s">
        <v>9</v>
      </c>
      <c r="E2" s="342" t="s">
        <v>10</v>
      </c>
      <c r="G2" s="342" t="s">
        <v>11</v>
      </c>
      <c r="I2" s="342" t="s">
        <v>12</v>
      </c>
      <c r="K2" s="342" t="s">
        <v>9</v>
      </c>
      <c r="M2" s="342" t="s">
        <v>10</v>
      </c>
      <c r="O2" s="342" t="s">
        <v>11</v>
      </c>
      <c r="Q2" s="342" t="s">
        <v>12</v>
      </c>
      <c r="S2" s="27" t="s">
        <v>20</v>
      </c>
      <c r="T2" s="392"/>
      <c r="U2" s="392"/>
    </row>
    <row r="3" spans="1:21" s="342" customFormat="1" x14ac:dyDescent="0.3">
      <c r="S3" s="27"/>
    </row>
    <row r="4" spans="1:21" x14ac:dyDescent="0.3">
      <c r="A4" t="s">
        <v>1</v>
      </c>
      <c r="B4" s="350">
        <v>616.48900000000003</v>
      </c>
      <c r="C4" s="350">
        <v>467.779</v>
      </c>
      <c r="D4" s="350">
        <v>616.48900000000003</v>
      </c>
      <c r="E4" s="350">
        <v>467.779</v>
      </c>
      <c r="F4" s="350">
        <v>654.98099999999999</v>
      </c>
      <c r="G4" s="350">
        <v>534.05899999999997</v>
      </c>
      <c r="H4" s="350">
        <v>702.78599999999994</v>
      </c>
      <c r="I4" s="350">
        <v>401.32</v>
      </c>
      <c r="J4" s="351">
        <v>497.64600000000002</v>
      </c>
      <c r="K4" s="351">
        <v>579.05600000000004</v>
      </c>
      <c r="L4" s="351">
        <v>497.64600000000002</v>
      </c>
      <c r="M4" s="351">
        <v>579.05600000000004</v>
      </c>
      <c r="N4" s="352">
        <v>549.27099999999996</v>
      </c>
      <c r="O4" s="352">
        <v>635.58299999999997</v>
      </c>
      <c r="P4" s="351">
        <v>563.93799999999999</v>
      </c>
      <c r="Q4" s="351">
        <v>491.86399999999998</v>
      </c>
      <c r="R4">
        <v>764</v>
      </c>
      <c r="S4">
        <v>424</v>
      </c>
    </row>
    <row r="5" spans="1:21" x14ac:dyDescent="0.3">
      <c r="A5" t="s">
        <v>2</v>
      </c>
      <c r="B5" s="350">
        <v>654.98099999999999</v>
      </c>
      <c r="C5" s="350">
        <v>534.05899999999997</v>
      </c>
      <c r="D5" s="350">
        <v>702.78599999999994</v>
      </c>
      <c r="E5" s="350">
        <v>401.32</v>
      </c>
      <c r="F5" s="350">
        <v>798.26099999999997</v>
      </c>
      <c r="G5" s="350">
        <v>463.06599999999997</v>
      </c>
      <c r="H5" s="350">
        <v>798.26099999999997</v>
      </c>
      <c r="I5" s="350">
        <v>463.06599999999997</v>
      </c>
      <c r="J5" s="352">
        <v>549.27099999999996</v>
      </c>
      <c r="K5" s="352">
        <v>635.58299999999997</v>
      </c>
      <c r="L5" s="351">
        <v>563.93799999999999</v>
      </c>
      <c r="M5" s="351">
        <v>491.86399999999998</v>
      </c>
      <c r="N5" s="351">
        <v>674.04</v>
      </c>
      <c r="O5" s="351">
        <v>525.95399999999995</v>
      </c>
      <c r="P5" s="351">
        <v>674.04</v>
      </c>
      <c r="Q5" s="351">
        <v>525.95399999999995</v>
      </c>
      <c r="R5">
        <v>804</v>
      </c>
      <c r="S5">
        <v>431</v>
      </c>
    </row>
    <row r="6" spans="1:21" x14ac:dyDescent="0.3">
      <c r="A6" t="s">
        <v>4</v>
      </c>
      <c r="B6">
        <f t="shared" ref="B6:S6" si="0">B5-B4</f>
        <v>38.491999999999962</v>
      </c>
      <c r="C6">
        <f t="shared" si="0"/>
        <v>66.279999999999973</v>
      </c>
      <c r="D6">
        <f t="shared" si="0"/>
        <v>86.296999999999912</v>
      </c>
      <c r="E6">
        <f t="shared" si="0"/>
        <v>-66.459000000000003</v>
      </c>
      <c r="F6">
        <f t="shared" si="0"/>
        <v>143.27999999999997</v>
      </c>
      <c r="G6">
        <f t="shared" si="0"/>
        <v>-70.992999999999995</v>
      </c>
      <c r="H6">
        <f t="shared" si="0"/>
        <v>95.475000000000023</v>
      </c>
      <c r="I6">
        <f t="shared" si="0"/>
        <v>61.745999999999981</v>
      </c>
      <c r="J6">
        <f t="shared" ref="J6:Q6" si="1">J5-J4</f>
        <v>51.624999999999943</v>
      </c>
      <c r="K6">
        <f t="shared" si="1"/>
        <v>56.52699999999993</v>
      </c>
      <c r="L6">
        <f t="shared" si="1"/>
        <v>66.291999999999973</v>
      </c>
      <c r="M6">
        <f t="shared" si="1"/>
        <v>-87.192000000000064</v>
      </c>
      <c r="N6">
        <f t="shared" si="1"/>
        <v>124.76900000000001</v>
      </c>
      <c r="O6">
        <f t="shared" si="1"/>
        <v>-109.62900000000002</v>
      </c>
      <c r="P6">
        <f t="shared" si="1"/>
        <v>110.10199999999998</v>
      </c>
      <c r="Q6">
        <f t="shared" si="1"/>
        <v>34.089999999999975</v>
      </c>
      <c r="R6">
        <f t="shared" si="0"/>
        <v>40</v>
      </c>
      <c r="S6">
        <f t="shared" si="0"/>
        <v>7</v>
      </c>
    </row>
    <row r="7" spans="1:21" x14ac:dyDescent="0.3">
      <c r="A7" t="s">
        <v>5</v>
      </c>
      <c r="B7">
        <f t="shared" ref="B7:S7" si="2">B6^2</f>
        <v>1481.6340639999971</v>
      </c>
      <c r="C7">
        <f t="shared" si="2"/>
        <v>4393.0383999999967</v>
      </c>
      <c r="D7">
        <f t="shared" si="2"/>
        <v>7447.1722089999848</v>
      </c>
      <c r="E7">
        <f t="shared" si="2"/>
        <v>4416.7986810000002</v>
      </c>
      <c r="F7">
        <f t="shared" si="2"/>
        <v>20529.158399999993</v>
      </c>
      <c r="G7">
        <f t="shared" si="2"/>
        <v>5040.0060489999996</v>
      </c>
      <c r="H7">
        <f t="shared" si="2"/>
        <v>9115.4756250000046</v>
      </c>
      <c r="I7">
        <f t="shared" si="2"/>
        <v>3812.5685159999975</v>
      </c>
      <c r="J7">
        <f t="shared" ref="J7:Q7" si="3">J6^2</f>
        <v>2665.1406249999941</v>
      </c>
      <c r="K7">
        <f t="shared" si="3"/>
        <v>3195.3017289999921</v>
      </c>
      <c r="L7">
        <f t="shared" si="3"/>
        <v>4394.6292639999965</v>
      </c>
      <c r="M7">
        <f t="shared" si="3"/>
        <v>7602.444864000011</v>
      </c>
      <c r="N7">
        <f t="shared" si="3"/>
        <v>15567.303361000002</v>
      </c>
      <c r="O7">
        <f t="shared" si="3"/>
        <v>12018.517641000004</v>
      </c>
      <c r="P7">
        <f t="shared" si="3"/>
        <v>12122.450403999994</v>
      </c>
      <c r="Q7">
        <f t="shared" si="3"/>
        <v>1162.1280999999983</v>
      </c>
      <c r="R7">
        <f t="shared" si="2"/>
        <v>1600</v>
      </c>
      <c r="S7">
        <f t="shared" si="2"/>
        <v>49</v>
      </c>
    </row>
    <row r="8" spans="1:21" x14ac:dyDescent="0.3">
      <c r="A8" t="s">
        <v>6</v>
      </c>
      <c r="C8">
        <f>SQRT(SUM(B7:C7))</f>
        <v>76.646411944721805</v>
      </c>
      <c r="E8">
        <f>SQRT(SUM(D7:E7))</f>
        <v>108.92185680569344</v>
      </c>
      <c r="G8">
        <f>SQRT(SUM(F7:G7))</f>
        <v>159.9036098685705</v>
      </c>
      <c r="I8">
        <f>SQRT(SUM(H7:I7))</f>
        <v>113.70155733761962</v>
      </c>
      <c r="K8">
        <f>SQRT(SUM(J7:K7))</f>
        <v>76.553526071631651</v>
      </c>
      <c r="M8">
        <f>SQRT(SUM(L7:M7))</f>
        <v>109.53115596943185</v>
      </c>
      <c r="O8">
        <f>SQRT(SUM(N7:O7))</f>
        <v>166.08979800698177</v>
      </c>
      <c r="Q8">
        <f>SQRT(SUM(P7:Q7))</f>
        <v>115.25874588941176</v>
      </c>
      <c r="S8">
        <f>SQRT(SUM(R7:S7))</f>
        <v>40.607881008493905</v>
      </c>
    </row>
    <row r="9" spans="1:21" x14ac:dyDescent="0.3">
      <c r="A9" t="s">
        <v>7</v>
      </c>
      <c r="C9">
        <f>MOD(ATAN2(C6,B6)*180/PI()+270,360)</f>
        <v>300.1458064969629</v>
      </c>
      <c r="E9">
        <f>MOD(ATAN2(E6,D6)*180/PI()+270,360)</f>
        <v>37.600568213029533</v>
      </c>
      <c r="G9">
        <f>MOD(ATAN2(G6,F6)*180/PI()+270,360)</f>
        <v>26.357696141581471</v>
      </c>
      <c r="I9">
        <f>MOD(ATAN2(I6,H6)*180/PI()+270,360)</f>
        <v>327.10827046121619</v>
      </c>
      <c r="K9">
        <f>MOD(ATAN2(K6,J6)*180/PI()+270,360)</f>
        <v>312.4048393407939</v>
      </c>
      <c r="M9">
        <f>MOD(ATAN2(M6,L6)*180/PI()+270,360)</f>
        <v>52.754304410994223</v>
      </c>
      <c r="O9">
        <f>MOD(ATAN2(O6,N6)*180/PI()+270,360)</f>
        <v>41.304342321650211</v>
      </c>
      <c r="Q9">
        <f>MOD(ATAN2(Q6,P6)*180/PI()+270,360)</f>
        <v>342.79632557421991</v>
      </c>
      <c r="S9">
        <f>MOD(ATAN2(S6,R6)*180/PI()+90,360)</f>
        <v>170.0737544933483</v>
      </c>
    </row>
    <row r="10" spans="1:21" s="343" customFormat="1" ht="117" customHeight="1" x14ac:dyDescent="0.3">
      <c r="A10" s="16" t="s">
        <v>40</v>
      </c>
      <c r="B10" s="393" t="s">
        <v>442</v>
      </c>
      <c r="C10" s="393"/>
      <c r="D10" s="393" t="s">
        <v>440</v>
      </c>
      <c r="E10" s="393"/>
      <c r="F10" s="393" t="s">
        <v>440</v>
      </c>
      <c r="G10" s="393"/>
      <c r="H10" s="393" t="s">
        <v>440</v>
      </c>
      <c r="I10" s="393"/>
      <c r="J10" s="393" t="s">
        <v>441</v>
      </c>
      <c r="K10" s="393"/>
      <c r="L10" s="393" t="s">
        <v>441</v>
      </c>
      <c r="M10" s="393"/>
      <c r="N10" s="393" t="s">
        <v>441</v>
      </c>
      <c r="O10" s="393"/>
      <c r="P10" s="393" t="s">
        <v>441</v>
      </c>
      <c r="Q10" s="393"/>
      <c r="R10" s="393" t="s">
        <v>58</v>
      </c>
      <c r="S10" s="393"/>
    </row>
    <row r="11" spans="1:21" s="19" customFormat="1" x14ac:dyDescent="0.3">
      <c r="A11" s="20" t="s">
        <v>37</v>
      </c>
      <c r="B11" s="20"/>
      <c r="C11" s="20"/>
      <c r="D11" s="20"/>
      <c r="E11" s="20"/>
      <c r="J11" s="20"/>
      <c r="K11" s="20"/>
      <c r="L11" s="20"/>
      <c r="M11" s="20"/>
    </row>
    <row r="12" spans="1:21" s="1" customFormat="1" x14ac:dyDescent="0.3">
      <c r="B12" s="6" t="s">
        <v>15</v>
      </c>
      <c r="C12" s="1" t="s">
        <v>16</v>
      </c>
      <c r="D12" s="6" t="s">
        <v>15</v>
      </c>
      <c r="E12" s="1" t="s">
        <v>16</v>
      </c>
      <c r="J12" s="6" t="s">
        <v>15</v>
      </c>
      <c r="K12" s="1" t="s">
        <v>16</v>
      </c>
      <c r="L12" s="6" t="s">
        <v>15</v>
      </c>
      <c r="M12" s="1" t="s">
        <v>16</v>
      </c>
    </row>
    <row r="13" spans="1:21" x14ac:dyDescent="0.3">
      <c r="A13" t="s">
        <v>18</v>
      </c>
      <c r="B13" s="5">
        <f>(5/12+35/1440+15.83/86400)*1296000</f>
        <v>571737.45000000007</v>
      </c>
      <c r="C13" s="2">
        <f>-(5*360+23*60+14.4)</f>
        <v>-3194.4</v>
      </c>
      <c r="D13" s="5">
        <f>(5/12+35/1440+15.83/86400)*1296000</f>
        <v>571737.45000000007</v>
      </c>
      <c r="E13" s="2">
        <f>-(5*360+23*60+14.4)</f>
        <v>-3194.4</v>
      </c>
      <c r="F13" s="5">
        <f>(5/12+35/1440+16.11/86400)*1296000</f>
        <v>571741.65</v>
      </c>
      <c r="G13" s="2">
        <f>-(5*360+23*60+6.9)</f>
        <v>-3186.9</v>
      </c>
      <c r="H13" s="5">
        <f>(5/12+35/1440+16.46/86400)*1296000</f>
        <v>571746.90000000014</v>
      </c>
      <c r="I13" s="2">
        <f>-(5*360+23*60+23.2)</f>
        <v>-3203.2</v>
      </c>
      <c r="J13" s="5">
        <f>(5/12+35/1440+15.83/86400)*1296000</f>
        <v>571737.45000000007</v>
      </c>
      <c r="K13" s="2">
        <f>-(5*360+23*60+14.4)</f>
        <v>-3194.4</v>
      </c>
      <c r="L13" s="5">
        <f>(5/12+35/1440+15.83/86400)*1296000</f>
        <v>571737.45000000007</v>
      </c>
      <c r="M13" s="2">
        <f>-(5*360+23*60+14.4)</f>
        <v>-3194.4</v>
      </c>
      <c r="N13" s="5">
        <f>(5/12+35/1440+16.11/86400)*1296000</f>
        <v>571741.65</v>
      </c>
      <c r="O13" s="2">
        <f>-(5*360+23*60+6.9)</f>
        <v>-3186.9</v>
      </c>
      <c r="P13" s="5">
        <f>(5/12+35/1440+16.46/86400)*1296000</f>
        <v>571746.90000000014</v>
      </c>
      <c r="Q13" s="2">
        <f>-(5*360+23*60+23.2)</f>
        <v>-3203.2</v>
      </c>
    </row>
    <row r="14" spans="1:21" x14ac:dyDescent="0.3">
      <c r="A14" t="s">
        <v>17</v>
      </c>
      <c r="B14" s="5">
        <f>(5/12+35/1440+16.11/86400)*1296000</f>
        <v>571741.65</v>
      </c>
      <c r="C14" s="2">
        <f>-(5*360+23*60+6.9)</f>
        <v>-3186.9</v>
      </c>
      <c r="D14" s="5">
        <f>(5/12+35/1440+16.46/86400)*1296000</f>
        <v>571746.90000000014</v>
      </c>
      <c r="E14" s="2">
        <f>-(5*360+23*60+23.2)</f>
        <v>-3203.2</v>
      </c>
      <c r="F14" s="5">
        <f>(5/12+35/1440+17.2/86400)*1296000</f>
        <v>571758.00000000012</v>
      </c>
      <c r="G14" s="2">
        <f>-(5*360+23*60+15.7)</f>
        <v>-3195.7</v>
      </c>
      <c r="H14" s="5">
        <f>(5/12+35/1440+17.2/86400)*1296000</f>
        <v>571758.00000000012</v>
      </c>
      <c r="I14" s="2">
        <f>-(5*360+23*60+15.7)</f>
        <v>-3195.7</v>
      </c>
      <c r="J14" s="5">
        <f>(5/12+35/1440+16.11/86400)*1296000</f>
        <v>571741.65</v>
      </c>
      <c r="K14" s="2">
        <f>-(5*360+23*60+6.9)</f>
        <v>-3186.9</v>
      </c>
      <c r="L14" s="5">
        <f>(5/12+35/1440+16.46/86400)*1296000</f>
        <v>571746.90000000014</v>
      </c>
      <c r="M14" s="2">
        <f>-(5*360+23*60+23.2)</f>
        <v>-3203.2</v>
      </c>
      <c r="N14" s="5">
        <f>(5/12+35/1440+17.2/86400)*1296000</f>
        <v>571758.00000000012</v>
      </c>
      <c r="O14" s="2">
        <f>-(5*360+23*60+15.7)</f>
        <v>-3195.7</v>
      </c>
      <c r="P14" s="5">
        <f>(5/12+35/1440+17.2/86400)*1296000</f>
        <v>571758.00000000012</v>
      </c>
      <c r="Q14" s="2">
        <f>-(5*360+23*60+15.7)</f>
        <v>-3195.7</v>
      </c>
    </row>
    <row r="15" spans="1:21" x14ac:dyDescent="0.3">
      <c r="A15" t="s">
        <v>14</v>
      </c>
      <c r="B15" s="5">
        <f>(B14-B13)*COS((5+23/60)*PI()/180)</f>
        <v>4.1814750493745336</v>
      </c>
      <c r="C15" s="5">
        <f>C14-C13</f>
        <v>7.5</v>
      </c>
      <c r="D15" s="5">
        <f>(D14-D13)*COS((5+23/60)*PI()/180)</f>
        <v>9.4083188612665527</v>
      </c>
      <c r="E15" s="5">
        <f>E14-E13</f>
        <v>-8.7999999999997272</v>
      </c>
      <c r="F15" s="5">
        <f>(F14-F13)*COS((5+23/60)*PI()/180)</f>
        <v>16.277885013909774</v>
      </c>
      <c r="G15" s="5">
        <f>G14-G13</f>
        <v>-8.7999999999997272</v>
      </c>
      <c r="H15" s="5">
        <f>(H14-H13)*COS((5+23/60)*PI()/180)</f>
        <v>11.051041202017755</v>
      </c>
      <c r="I15" s="5">
        <f>I14-I13</f>
        <v>7.5</v>
      </c>
      <c r="J15" s="5">
        <f>(J14-J13)*COS((5+23/60)*PI()/180)</f>
        <v>4.1814750493745336</v>
      </c>
      <c r="K15" s="5">
        <f>K14-K13</f>
        <v>7.5</v>
      </c>
      <c r="L15" s="5">
        <f>(L14-L13)*COS((5+23/60)*PI()/180)</f>
        <v>9.4083188612665527</v>
      </c>
      <c r="M15" s="5">
        <f>M14-M13</f>
        <v>-8.7999999999997272</v>
      </c>
      <c r="N15" s="5">
        <f>(N14-N13)*COS((5+23/60)*PI()/180)</f>
        <v>16.277885013909774</v>
      </c>
      <c r="O15" s="5">
        <f>O14-O13</f>
        <v>-8.7999999999997272</v>
      </c>
      <c r="P15" s="5">
        <f>(P14-P13)*COS((5+23/60)*PI()/180)</f>
        <v>11.051041202017755</v>
      </c>
      <c r="Q15" s="5">
        <f>Q14-Q13</f>
        <v>7.5</v>
      </c>
    </row>
    <row r="16" spans="1:21" x14ac:dyDescent="0.3">
      <c r="A16" t="s">
        <v>13</v>
      </c>
      <c r="B16" s="4">
        <f>SQRT(B15^2+C15^2)</f>
        <v>8.586893127816472</v>
      </c>
      <c r="C16" s="25">
        <v>8.6999999999999993</v>
      </c>
      <c r="D16" s="4">
        <f>SQRT(D15^2+E15^2)</f>
        <v>12.882409083523902</v>
      </c>
      <c r="E16" s="26">
        <v>12.9</v>
      </c>
      <c r="F16" s="4">
        <f>SQRT(F15^2+G15^2)</f>
        <v>18.504311403725985</v>
      </c>
      <c r="G16" s="26">
        <v>19.2</v>
      </c>
      <c r="H16" s="4">
        <f>SQRT(H15^2+I15^2)</f>
        <v>13.355729543858473</v>
      </c>
      <c r="I16" s="26">
        <v>13.3</v>
      </c>
      <c r="J16" s="4">
        <f>SQRT(J15^2+K15^2)</f>
        <v>8.586893127816472</v>
      </c>
      <c r="K16" s="25">
        <v>8.6999999999999993</v>
      </c>
      <c r="L16" s="4">
        <f>SQRT(L15^2+M15^2)</f>
        <v>12.882409083523902</v>
      </c>
      <c r="M16" s="26">
        <v>12.9</v>
      </c>
      <c r="N16" s="4">
        <f>SQRT(N15^2+O15^2)</f>
        <v>18.504311403725985</v>
      </c>
      <c r="O16" s="26">
        <v>19.2</v>
      </c>
      <c r="P16" s="4">
        <f>SQRT(P15^2+Q15^2)</f>
        <v>13.355729543858473</v>
      </c>
      <c r="Q16" s="26">
        <v>13.3</v>
      </c>
      <c r="S16">
        <v>4.6749999999999998</v>
      </c>
    </row>
    <row r="17" spans="1:20" x14ac:dyDescent="0.3">
      <c r="A17" t="s">
        <v>7</v>
      </c>
      <c r="C17">
        <f>MOD(ATAN2(C15,B15)*180/PI(),360)</f>
        <v>29.140978280747419</v>
      </c>
      <c r="E17">
        <f>MOD(ATAN2(E15,D15)*180/PI(),360)</f>
        <v>133.08652600970979</v>
      </c>
      <c r="G17">
        <f>MOD(ATAN2(G15,F15)*180/PI(),360)</f>
        <v>118.39613345501539</v>
      </c>
      <c r="I17">
        <f>MOD(ATAN2(I15,H15)*180/PI(),360)</f>
        <v>55.836474509113721</v>
      </c>
      <c r="K17">
        <f>MOD(ATAN2(K15,J15)*180/PI(),360)</f>
        <v>29.140978280747419</v>
      </c>
      <c r="M17">
        <f>MOD(ATAN2(M15,L15)*180/PI(),360)</f>
        <v>133.08652600970979</v>
      </c>
      <c r="O17">
        <f>MOD(ATAN2(O15,N15)*180/PI(),360)</f>
        <v>118.39613345501539</v>
      </c>
      <c r="Q17">
        <f>MOD(ATAN2(Q15,P15)*180/PI(),360)</f>
        <v>55.836474509113721</v>
      </c>
      <c r="S17">
        <v>61.21</v>
      </c>
    </row>
    <row r="18" spans="1:20" x14ac:dyDescent="0.3">
      <c r="A18" t="s">
        <v>32</v>
      </c>
      <c r="B18" s="9">
        <f>-C16*SIN((C17)/180*PI())</f>
        <v>-4.2365535925575291</v>
      </c>
      <c r="C18" s="9">
        <f>C16*COS((C17)/180*PI())</f>
        <v>7.5987902759181267</v>
      </c>
      <c r="D18" s="9">
        <f>-E16*SIN((E17)/180*PI())</f>
        <v>-9.4211659110843371</v>
      </c>
      <c r="E18" s="9">
        <f>E16*COS((E17)/180*PI())</f>
        <v>-8.8120163910323299</v>
      </c>
      <c r="F18" s="9">
        <f>-G16*SIN((G17)/180*PI())</f>
        <v>-16.889868822902333</v>
      </c>
      <c r="G18" s="9">
        <f>G16*COS((G17)/180*PI())</f>
        <v>-9.1308450400360925</v>
      </c>
      <c r="H18" s="9">
        <f>-I16*SIN((I17)/180*PI())</f>
        <v>-11.00492844693933</v>
      </c>
      <c r="I18" s="9">
        <f>I16*COS((I17)/180*PI())</f>
        <v>7.4687046987911838</v>
      </c>
      <c r="J18" s="9">
        <f>-K16*SIN((K17)/180*PI())</f>
        <v>-4.2365535925575291</v>
      </c>
      <c r="K18" s="9">
        <f>K16*COS((K17)/180*PI())</f>
        <v>7.5987902759181267</v>
      </c>
      <c r="L18" s="9">
        <f>-M16*SIN((M17)/180*PI())</f>
        <v>-9.4211659110843371</v>
      </c>
      <c r="M18" s="9">
        <f>M16*COS((M17)/180*PI())</f>
        <v>-8.8120163910323299</v>
      </c>
      <c r="N18" s="9">
        <f>-O16*SIN((O17)/180*PI())</f>
        <v>-16.889868822902333</v>
      </c>
      <c r="O18" s="9">
        <f>O16*COS((O17)/180*PI())</f>
        <v>-9.1308450400360925</v>
      </c>
      <c r="P18" s="9">
        <f>-Q16*SIN((Q17)/180*PI())</f>
        <v>-11.00492844693933</v>
      </c>
      <c r="Q18" s="9">
        <f>Q16*COS((Q17)/180*PI())</f>
        <v>7.4687046987911838</v>
      </c>
      <c r="R18" s="9">
        <f>-S16*SIN((S17)/180*PI())</f>
        <v>-4.0971267495857369</v>
      </c>
      <c r="S18" s="9">
        <f>S16*COS((S17)/180*PI())</f>
        <v>2.2514833772046843</v>
      </c>
    </row>
    <row r="19" spans="1:20" s="341" customFormat="1" ht="69" customHeight="1" x14ac:dyDescent="0.3">
      <c r="A19" s="15" t="s">
        <v>40</v>
      </c>
      <c r="B19" s="340"/>
      <c r="C19" s="340"/>
      <c r="D19" s="340"/>
      <c r="E19" s="340"/>
      <c r="F19" s="340"/>
      <c r="G19" s="340"/>
      <c r="H19" s="340"/>
      <c r="I19" s="340"/>
      <c r="J19" s="340"/>
      <c r="K19" s="340"/>
      <c r="L19" s="340"/>
      <c r="M19" s="340"/>
      <c r="N19" s="340"/>
      <c r="O19" s="340"/>
      <c r="P19" s="340"/>
      <c r="Q19" s="340"/>
      <c r="R19" s="340"/>
      <c r="S19" s="340"/>
    </row>
    <row r="20" spans="1:20" s="19" customFormat="1" x14ac:dyDescent="0.3">
      <c r="A20" s="18" t="s">
        <v>38</v>
      </c>
    </row>
    <row r="21" spans="1:20" x14ac:dyDescent="0.3">
      <c r="A21" s="7" t="s">
        <v>65</v>
      </c>
      <c r="C21">
        <f>C16/C8</f>
        <v>0.11350824884372318</v>
      </c>
      <c r="E21">
        <f>E16/E8</f>
        <v>0.11843353003991121</v>
      </c>
      <c r="G21">
        <f>G16/G8</f>
        <v>0.12007233617665697</v>
      </c>
      <c r="I21">
        <f>I16/I8</f>
        <v>0.11697289211710318</v>
      </c>
      <c r="K21">
        <f>K16/K8</f>
        <v>0.11364597356181021</v>
      </c>
      <c r="M21">
        <f>M16/M8</f>
        <v>0.1177747088107073</v>
      </c>
      <c r="O21">
        <f>O16/O8</f>
        <v>0.11560011650560804</v>
      </c>
      <c r="Q21">
        <f>Q16/Q8</f>
        <v>0.11539254481183632</v>
      </c>
      <c r="S21">
        <f>S16/S8</f>
        <v>0.11512543584882293</v>
      </c>
      <c r="T21" t="s">
        <v>8</v>
      </c>
    </row>
    <row r="22" spans="1:20" x14ac:dyDescent="0.3">
      <c r="A22" t="s">
        <v>34</v>
      </c>
    </row>
    <row r="23" spans="1:20" x14ac:dyDescent="0.3">
      <c r="A23" t="s">
        <v>35</v>
      </c>
      <c r="S23" t="e">
        <f>S21-#REF!</f>
        <v>#REF!</v>
      </c>
      <c r="T23" t="s">
        <v>8</v>
      </c>
    </row>
    <row r="24" spans="1:20" x14ac:dyDescent="0.3">
      <c r="A24" s="7" t="s">
        <v>64</v>
      </c>
      <c r="C24">
        <f>MOD(C9-C17,360)</f>
        <v>271.00482821621551</v>
      </c>
      <c r="E24">
        <f>MOD(E9-E17,360)</f>
        <v>264.51404220331972</v>
      </c>
      <c r="G24">
        <f>MOD(G9-G17,360)</f>
        <v>267.96156268656608</v>
      </c>
      <c r="I24">
        <f>MOD(I9-I17,360)</f>
        <v>271.27179595210248</v>
      </c>
      <c r="K24">
        <f>MOD(K9-K17,360)</f>
        <v>283.26386106004645</v>
      </c>
      <c r="M24">
        <f>MOD(M9-M17,360)</f>
        <v>279.66777840128441</v>
      </c>
      <c r="O24">
        <f>MOD(O9-O17,360)</f>
        <v>282.90820886663482</v>
      </c>
      <c r="Q24">
        <f>MOD(Q9-Q17,360)</f>
        <v>286.95985106510619</v>
      </c>
      <c r="R24" s="29"/>
      <c r="S24" s="29">
        <f>MOD(S9-S17,360)</f>
        <v>108.8637544933483</v>
      </c>
      <c r="T24" t="s">
        <v>19</v>
      </c>
    </row>
    <row r="25" spans="1:20" x14ac:dyDescent="0.3">
      <c r="A25" t="s">
        <v>36</v>
      </c>
    </row>
    <row r="26" spans="1:20" x14ac:dyDescent="0.3">
      <c r="A26" t="s">
        <v>35</v>
      </c>
      <c r="S26" t="e">
        <f>S24-#REF!</f>
        <v>#REF!</v>
      </c>
      <c r="T26" t="s">
        <v>19</v>
      </c>
    </row>
    <row r="27" spans="1:20" x14ac:dyDescent="0.3">
      <c r="A27" t="s">
        <v>67</v>
      </c>
      <c r="C27">
        <f>SQRT(C16)</f>
        <v>2.9495762407505248</v>
      </c>
      <c r="E27">
        <f>SQRT(E16)</f>
        <v>3.591656999213594</v>
      </c>
      <c r="G27">
        <f>SQRT(G16)</f>
        <v>4.3817804600413286</v>
      </c>
      <c r="I27">
        <f>SQRT(I16)</f>
        <v>3.646916505762094</v>
      </c>
      <c r="K27">
        <f>SQRT(K16)</f>
        <v>2.9495762407505248</v>
      </c>
      <c r="M27">
        <f>SQRT(M16)</f>
        <v>3.591656999213594</v>
      </c>
      <c r="O27">
        <f>SQRT(O16)</f>
        <v>4.3817804600413286</v>
      </c>
      <c r="Q27">
        <f>SQRT(Q16)</f>
        <v>3.646916505762094</v>
      </c>
      <c r="S27">
        <f>SQRT(S16)</f>
        <v>2.1621748310439655</v>
      </c>
    </row>
    <row r="28" spans="1:20" x14ac:dyDescent="0.3">
      <c r="A28" t="s">
        <v>68</v>
      </c>
      <c r="C28">
        <f>C27*C21</f>
        <v>0.33480123391864414</v>
      </c>
      <c r="E28">
        <f>E27*E21</f>
        <v>0.42537261710942054</v>
      </c>
      <c r="G28">
        <f>G27*G21</f>
        <v>0.52613061645038905</v>
      </c>
      <c r="I28">
        <f>I27*I21</f>
        <v>0.42659037098859232</v>
      </c>
      <c r="K28">
        <f>K27*K21</f>
        <v>0.33520746347487768</v>
      </c>
      <c r="M28">
        <f>M27*M21</f>
        <v>0.42300635723031982</v>
      </c>
      <c r="O28">
        <f>O27*O21</f>
        <v>0.5065343316827744</v>
      </c>
      <c r="Q28">
        <f>Q27*Q21</f>
        <v>0.42082697631617799</v>
      </c>
      <c r="S28">
        <f>S27*S21</f>
        <v>0.24892131980529159</v>
      </c>
    </row>
    <row r="29" spans="1:20" x14ac:dyDescent="0.3">
      <c r="A29" s="288" t="s">
        <v>69</v>
      </c>
      <c r="B29" s="118" t="s">
        <v>357</v>
      </c>
      <c r="C29" s="139">
        <f>SUM(B28:I28)/SUM(B27:I27)</f>
        <v>0.11756369552058611</v>
      </c>
      <c r="J29" s="118" t="s">
        <v>357</v>
      </c>
      <c r="K29" s="139">
        <f>SUM(J28:Q28)/SUM(J27:Q27)</f>
        <v>0.11568862066593229</v>
      </c>
    </row>
    <row r="30" spans="1:20" x14ac:dyDescent="0.3">
      <c r="A30" t="s">
        <v>72</v>
      </c>
      <c r="C30" s="7">
        <f>C21-$C29</f>
        <v>-4.055446676862931E-3</v>
      </c>
      <c r="E30" s="7">
        <f>E21-$C29</f>
        <v>8.698345193250967E-4</v>
      </c>
      <c r="G30" s="7">
        <f>G21-$C29</f>
        <v>2.5086406560708568E-3</v>
      </c>
      <c r="I30" s="7">
        <f>I21-$C29</f>
        <v>-5.9080340348292848E-4</v>
      </c>
      <c r="K30" s="7">
        <f>K21-$C29</f>
        <v>-3.9177219587759049E-3</v>
      </c>
      <c r="M30" s="7">
        <f>M21-$C29</f>
        <v>2.1101329012118697E-4</v>
      </c>
      <c r="O30" s="7">
        <f>O21-$C29</f>
        <v>-1.9635790149780674E-3</v>
      </c>
      <c r="Q30" s="7">
        <f>Q21-$C29</f>
        <v>-2.1711507087497917E-3</v>
      </c>
      <c r="S30" s="7" t="e">
        <f>S21-#REF!</f>
        <v>#REF!</v>
      </c>
    </row>
    <row r="31" spans="1:20" x14ac:dyDescent="0.3">
      <c r="A31" t="s">
        <v>70</v>
      </c>
      <c r="C31">
        <f>C27*C24</f>
        <v>799.34940243522669</v>
      </c>
      <c r="E31">
        <f>E27*E24</f>
        <v>950.04371106983331</v>
      </c>
      <c r="G31">
        <f>G27*G24</f>
        <v>1174.1487394221349</v>
      </c>
      <c r="I31">
        <f>I27*I24</f>
        <v>989.30559020544933</v>
      </c>
      <c r="K31">
        <f>K27*K24</f>
        <v>835.50835444597078</v>
      </c>
      <c r="M31">
        <f>M27*M24</f>
        <v>1004.4707337494896</v>
      </c>
      <c r="O31">
        <f>O27*O24</f>
        <v>1239.6416615971114</v>
      </c>
      <c r="Q31">
        <f>Q27*Q24</f>
        <v>1046.5186173403679</v>
      </c>
      <c r="S31">
        <f>S27*S24</f>
        <v>235.3824699784671</v>
      </c>
    </row>
    <row r="32" spans="1:20" x14ac:dyDescent="0.3">
      <c r="A32" s="288" t="s">
        <v>71</v>
      </c>
      <c r="B32" s="118" t="s">
        <v>357</v>
      </c>
      <c r="C32" s="139">
        <f>MOD(SUM(B31:I31)/SUM(B27:I27),360)</f>
        <v>268.55636148371758</v>
      </c>
      <c r="J32" s="118" t="s">
        <v>357</v>
      </c>
      <c r="K32" s="139">
        <f>MOD(SUM(J31:Q31)/SUM(J27:Q27),360)</f>
        <v>283.19554787569245</v>
      </c>
    </row>
    <row r="33" spans="1:21" x14ac:dyDescent="0.3">
      <c r="A33" t="s">
        <v>73</v>
      </c>
      <c r="C33" s="7">
        <f>C24-$C32</f>
        <v>2.4484667324979341</v>
      </c>
      <c r="E33" s="7">
        <f>E24-$C32</f>
        <v>-4.0423192803978623</v>
      </c>
      <c r="G33" s="7">
        <f>G24-$C32</f>
        <v>-0.59479879715149764</v>
      </c>
      <c r="I33" s="7">
        <f>I24-$C32</f>
        <v>2.715434468384899</v>
      </c>
      <c r="K33" s="7">
        <f>K24-$C32</f>
        <v>14.707499576328871</v>
      </c>
      <c r="M33" s="7">
        <f>M24-$C32</f>
        <v>11.111416917566828</v>
      </c>
      <c r="O33" s="7">
        <f>O24-$C32</f>
        <v>14.351847382917242</v>
      </c>
      <c r="Q33" s="7">
        <f>Q24-$C32</f>
        <v>18.403489581388612</v>
      </c>
      <c r="S33" s="7" t="e">
        <f>S24-#REF!</f>
        <v>#REF!</v>
      </c>
      <c r="U33" s="7"/>
    </row>
    <row r="34" spans="1:21" s="341" customFormat="1" ht="75.75" customHeight="1" x14ac:dyDescent="0.3">
      <c r="A34" s="15" t="s">
        <v>40</v>
      </c>
      <c r="H34" s="22"/>
      <c r="P34" s="22"/>
    </row>
    <row r="35" spans="1:21" s="19" customFormat="1" x14ac:dyDescent="0.3">
      <c r="A35" s="20" t="s">
        <v>54</v>
      </c>
      <c r="B35" s="20"/>
      <c r="C35" s="20"/>
      <c r="D35" s="20"/>
      <c r="E35" s="20"/>
      <c r="J35" s="20"/>
      <c r="K35" s="20"/>
      <c r="L35" s="20"/>
      <c r="M35" s="20"/>
    </row>
    <row r="36" spans="1:21" x14ac:dyDescent="0.3">
      <c r="A36" s="7" t="s">
        <v>42</v>
      </c>
      <c r="B36" s="118"/>
      <c r="C36" s="147">
        <f>C8*$C29</f>
        <v>9.0108354366146894</v>
      </c>
      <c r="D36" s="118"/>
      <c r="E36" s="147">
        <f>E8*$C29</f>
        <v>12.805256009041424</v>
      </c>
      <c r="F36" s="118"/>
      <c r="G36" s="147">
        <f>G8*$C29</f>
        <v>18.798859303231211</v>
      </c>
      <c r="H36" s="118"/>
      <c r="I36" s="147">
        <f>I8*$C29</f>
        <v>13.367175267056377</v>
      </c>
      <c r="J36" s="118"/>
      <c r="K36" s="147">
        <f>K8*$C29</f>
        <v>8.9999154301125532</v>
      </c>
      <c r="L36" s="118"/>
      <c r="M36" s="147">
        <f>M8*$C29</f>
        <v>12.876887470408114</v>
      </c>
      <c r="N36" s="118"/>
      <c r="O36" s="147">
        <f>O8*$C29</f>
        <v>19.526130441968455</v>
      </c>
      <c r="P36" s="118"/>
      <c r="Q36" s="147">
        <f>Q8*$C29</f>
        <v>13.55024410782741</v>
      </c>
      <c r="S36" s="4" t="e">
        <f>S8*#REF!</f>
        <v>#REF!</v>
      </c>
      <c r="T36" t="e">
        <f>S36*#REF!/#REF!</f>
        <v>#REF!</v>
      </c>
    </row>
    <row r="37" spans="1:21" x14ac:dyDescent="0.3">
      <c r="A37" t="s">
        <v>50</v>
      </c>
      <c r="B37" s="118"/>
      <c r="C37" s="141">
        <f>C36-C16</f>
        <v>0.31083543661469015</v>
      </c>
      <c r="D37" s="118"/>
      <c r="E37" s="141">
        <f>E36-E16</f>
        <v>-9.4743990958576774E-2</v>
      </c>
      <c r="F37" s="118"/>
      <c r="G37" s="141">
        <f>G36-G16</f>
        <v>-0.40114069676878827</v>
      </c>
      <c r="H37" s="118"/>
      <c r="I37" s="141">
        <f>I36-I16</f>
        <v>6.7175267056375887E-2</v>
      </c>
      <c r="J37" s="118"/>
      <c r="K37" s="141">
        <f>K36-K16</f>
        <v>0.29991543011255395</v>
      </c>
      <c r="L37" s="118"/>
      <c r="M37" s="141">
        <f>M36-M16</f>
        <v>-2.3112529591886144E-2</v>
      </c>
      <c r="N37" s="118"/>
      <c r="O37" s="141">
        <f>O36-O16</f>
        <v>0.32613044196845564</v>
      </c>
      <c r="P37" s="118"/>
      <c r="Q37" s="141">
        <f>Q36-Q16</f>
        <v>0.25024410782740958</v>
      </c>
      <c r="S37" s="4" t="e">
        <f>S36-S16</f>
        <v>#REF!</v>
      </c>
    </row>
    <row r="38" spans="1:21" x14ac:dyDescent="0.3">
      <c r="A38" t="s">
        <v>51</v>
      </c>
      <c r="B38" s="118"/>
      <c r="C38" s="142">
        <f>C37/C16</f>
        <v>3.5728211105136805E-2</v>
      </c>
      <c r="D38" s="118"/>
      <c r="E38" s="142">
        <f>E37/E16</f>
        <v>-7.344495423145486E-3</v>
      </c>
      <c r="F38" s="118"/>
      <c r="G38" s="142">
        <f>G37/G16</f>
        <v>-2.0892744623374392E-2</v>
      </c>
      <c r="H38" s="118"/>
      <c r="I38" s="142">
        <f>I37/I16</f>
        <v>5.050771959126006E-3</v>
      </c>
      <c r="J38" s="118"/>
      <c r="K38" s="142">
        <f>K37/K16</f>
        <v>3.4473037943971718E-2</v>
      </c>
      <c r="L38" s="118"/>
      <c r="M38" s="142">
        <f>M37/M16</f>
        <v>-1.7916689606113289E-3</v>
      </c>
      <c r="N38" s="118"/>
      <c r="O38" s="142">
        <f>O37/O16</f>
        <v>1.69859605191904E-2</v>
      </c>
      <c r="P38" s="118"/>
      <c r="Q38" s="142">
        <f>Q37/Q16</f>
        <v>1.8815346453188688E-2</v>
      </c>
      <c r="S38" s="23" t="e">
        <f>S37/S16</f>
        <v>#REF!</v>
      </c>
    </row>
    <row r="39" spans="1:21" x14ac:dyDescent="0.3">
      <c r="A39" t="s">
        <v>53</v>
      </c>
      <c r="B39" s="118">
        <f>AVERAGE(B37:C37)</f>
        <v>0.31083543661469015</v>
      </c>
      <c r="C39" s="142">
        <f>AVERAGE(C38:C38)</f>
        <v>3.5728211105136805E-2</v>
      </c>
      <c r="D39" s="118">
        <f>AVERAGE(D37:E37)</f>
        <v>-9.4743990958576774E-2</v>
      </c>
      <c r="E39" s="142">
        <f>AVERAGE(E38:E38)</f>
        <v>-7.344495423145486E-3</v>
      </c>
      <c r="F39" s="118">
        <f>AVERAGE(F37:G37)</f>
        <v>-0.40114069676878827</v>
      </c>
      <c r="G39" s="142">
        <f>AVERAGE(G38:G38)</f>
        <v>-2.0892744623374392E-2</v>
      </c>
      <c r="H39" s="118">
        <f>AVERAGE(H37:I37)</f>
        <v>6.7175267056375887E-2</v>
      </c>
      <c r="I39" s="142">
        <f>AVERAGE(I38:I38)</f>
        <v>5.050771959126006E-3</v>
      </c>
      <c r="J39" s="118">
        <f>AVERAGE(J37:K37)</f>
        <v>0.29991543011255395</v>
      </c>
      <c r="K39" s="142">
        <f>AVERAGE(K38:K38)</f>
        <v>3.4473037943971718E-2</v>
      </c>
      <c r="L39" s="118">
        <f>AVERAGE(L37:M37)</f>
        <v>-2.3112529591886144E-2</v>
      </c>
      <c r="M39" s="142">
        <f>AVERAGE(M38:M38)</f>
        <v>-1.7916689606113289E-3</v>
      </c>
      <c r="N39" s="118">
        <f>AVERAGE(N37:O37)</f>
        <v>0.32613044196845564</v>
      </c>
      <c r="O39" s="142">
        <f>AVERAGE(O38:O38)</f>
        <v>1.69859605191904E-2</v>
      </c>
      <c r="P39" s="118">
        <f>AVERAGE(P37:Q37)</f>
        <v>0.25024410782740958</v>
      </c>
      <c r="Q39" s="142">
        <f>AVERAGE(Q38:Q38)</f>
        <v>1.8815346453188688E-2</v>
      </c>
      <c r="S39" s="4"/>
    </row>
    <row r="40" spans="1:21" x14ac:dyDescent="0.3">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S40" s="4"/>
    </row>
    <row r="41" spans="1:21" x14ac:dyDescent="0.3">
      <c r="B41" s="118"/>
      <c r="C41" s="142"/>
      <c r="D41" s="118"/>
      <c r="E41" s="142"/>
      <c r="F41" s="118"/>
      <c r="G41" s="142"/>
      <c r="H41" s="118"/>
      <c r="I41" s="142"/>
      <c r="J41" s="118"/>
      <c r="K41" s="142"/>
      <c r="L41" s="118"/>
      <c r="M41" s="142"/>
      <c r="N41" s="118"/>
      <c r="O41" s="142"/>
      <c r="P41" s="118"/>
      <c r="Q41" s="142"/>
      <c r="S41" s="4"/>
    </row>
    <row r="42" spans="1:21" x14ac:dyDescent="0.3">
      <c r="A42" s="7" t="s">
        <v>43</v>
      </c>
      <c r="B42" s="118"/>
      <c r="C42" s="141">
        <f>MOD(C9-$C32,360)</f>
        <v>31.589445013245324</v>
      </c>
      <c r="D42" s="118"/>
      <c r="E42" s="141">
        <f>MOD(E9-$C32,360)</f>
        <v>129.04420672931195</v>
      </c>
      <c r="F42" s="118"/>
      <c r="G42" s="141">
        <f>MOD(G9-$C32,360)</f>
        <v>117.80133465786389</v>
      </c>
      <c r="H42" s="118"/>
      <c r="I42" s="141">
        <f>MOD(I9-$C32,360)</f>
        <v>58.551908977498613</v>
      </c>
      <c r="J42" s="118"/>
      <c r="K42" s="141">
        <f>MOD(K9-$C32,360)</f>
        <v>43.848477857076318</v>
      </c>
      <c r="L42" s="118"/>
      <c r="M42" s="141">
        <f>MOD(M9-$C32,360)</f>
        <v>144.19794292727664</v>
      </c>
      <c r="N42" s="118"/>
      <c r="O42" s="141">
        <f>MOD(O9-$C32,360)</f>
        <v>132.74798083793263</v>
      </c>
      <c r="P42" s="118"/>
      <c r="Q42" s="141">
        <f>MOD(Q9-$C32,360)</f>
        <v>74.239964090502326</v>
      </c>
      <c r="S42" s="4" t="e">
        <f>MOD(S9-#REF!,360)</f>
        <v>#REF!</v>
      </c>
      <c r="T42" t="e">
        <f>#REF!</f>
        <v>#REF!</v>
      </c>
    </row>
    <row r="43" spans="1:21" x14ac:dyDescent="0.3">
      <c r="A43" t="s">
        <v>55</v>
      </c>
      <c r="B43" s="118"/>
      <c r="C43" s="141">
        <f>C42-C17</f>
        <v>2.4484667324979057</v>
      </c>
      <c r="D43" s="118"/>
      <c r="E43" s="141">
        <f>E42-E17</f>
        <v>-4.0423192803978338</v>
      </c>
      <c r="F43" s="118"/>
      <c r="G43" s="141">
        <f>G42-G17</f>
        <v>-0.59479879715149764</v>
      </c>
      <c r="H43" s="118"/>
      <c r="I43" s="141">
        <f>I42-I17</f>
        <v>2.7154344683848919</v>
      </c>
      <c r="J43" s="118"/>
      <c r="K43" s="141">
        <f>K42-K17</f>
        <v>14.7074995763289</v>
      </c>
      <c r="L43" s="118"/>
      <c r="M43" s="141">
        <f>M42-M17</f>
        <v>11.111416917566856</v>
      </c>
      <c r="N43" s="118"/>
      <c r="O43" s="141">
        <f>O42-O17</f>
        <v>14.351847382917242</v>
      </c>
      <c r="P43" s="118"/>
      <c r="Q43" s="141">
        <f>Q42-Q17</f>
        <v>18.403489581388605</v>
      </c>
      <c r="S43" s="4" t="e">
        <f>S42-S17</f>
        <v>#REF!</v>
      </c>
    </row>
    <row r="44" spans="1:21" x14ac:dyDescent="0.3">
      <c r="A44" t="s">
        <v>56</v>
      </c>
      <c r="B44" s="118">
        <f>AVERAGE(B43:C43)</f>
        <v>2.4484667324979057</v>
      </c>
      <c r="C44" s="141"/>
      <c r="D44" s="118">
        <f>AVERAGE(D43:E43)</f>
        <v>-4.0423192803978338</v>
      </c>
      <c r="E44" s="141"/>
      <c r="F44" s="118">
        <f>AVERAGE(F43:G43)</f>
        <v>-0.59479879715149764</v>
      </c>
      <c r="G44" s="141"/>
      <c r="H44" s="118">
        <f>AVERAGE(H43:I43)</f>
        <v>2.7154344683848919</v>
      </c>
      <c r="I44" s="141"/>
      <c r="J44" s="118">
        <f>AVERAGE(J43:K43)</f>
        <v>14.7074995763289</v>
      </c>
      <c r="K44" s="141"/>
      <c r="L44" s="118">
        <f>AVERAGE(L43:M43)</f>
        <v>11.111416917566856</v>
      </c>
      <c r="M44" s="141"/>
      <c r="N44" s="118">
        <f>AVERAGE(N43:O43)</f>
        <v>14.351847382917242</v>
      </c>
      <c r="O44" s="141"/>
      <c r="P44" s="118">
        <f>AVERAGE(P43:Q43)</f>
        <v>18.403489581388605</v>
      </c>
      <c r="Q44" s="141"/>
      <c r="S44" s="4"/>
    </row>
    <row r="45" spans="1:21" x14ac:dyDescent="0.3">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S45" s="4"/>
    </row>
    <row r="46" spans="1:21" x14ac:dyDescent="0.3">
      <c r="B46" s="118"/>
      <c r="C46" s="141"/>
      <c r="D46" s="118"/>
      <c r="E46" s="141"/>
      <c r="F46" s="118"/>
      <c r="G46" s="141"/>
      <c r="H46" s="118"/>
      <c r="I46" s="141"/>
      <c r="J46" s="118"/>
      <c r="K46" s="141"/>
      <c r="L46" s="118"/>
      <c r="M46" s="141"/>
      <c r="N46" s="118"/>
      <c r="O46" s="141"/>
      <c r="P46" s="118"/>
      <c r="Q46" s="141"/>
      <c r="S46" s="4"/>
    </row>
    <row r="47" spans="1:21" x14ac:dyDescent="0.3">
      <c r="A47" t="s">
        <v>44</v>
      </c>
      <c r="B47" s="72">
        <f>-C36*SIN((C42)/180*PI())</f>
        <v>-4.7201368489269369</v>
      </c>
      <c r="C47" s="72">
        <f>C36*COS((C42)/180*PI())</f>
        <v>7.6756409109046473</v>
      </c>
      <c r="D47" s="72">
        <f>-E36*SIN((E42)/180*PI())</f>
        <v>-9.9453323878602884</v>
      </c>
      <c r="E47" s="72">
        <f>E36*COS((E42)/180*PI())</f>
        <v>-8.0662844700685259</v>
      </c>
      <c r="F47" s="72">
        <f>-G36*SIN((G42)/180*PI())</f>
        <v>-16.628909058342284</v>
      </c>
      <c r="G47" s="72">
        <f>G36*COS((G42)/180*PI())</f>
        <v>-8.7679241917380057</v>
      </c>
      <c r="H47" s="72">
        <f>-I36*SIN((I42)/180*PI())</f>
        <v>-11.403713519408937</v>
      </c>
      <c r="I47" s="72">
        <f>I36*COS((I42)/180*PI())</f>
        <v>6.9740011892351692</v>
      </c>
      <c r="J47" s="72">
        <f>-K36*SIN((K42)/180*PI())</f>
        <v>-6.2347238687653901</v>
      </c>
      <c r="K47" s="72">
        <f>K36*COS((K42)/180*PI())</f>
        <v>6.4905081487835101</v>
      </c>
      <c r="L47" s="72">
        <f>-M36*SIN((M42)/180*PI())</f>
        <v>-7.5328091178153942</v>
      </c>
      <c r="M47" s="72">
        <f>M36*COS((M42)/180*PI())</f>
        <v>-10.443707087050591</v>
      </c>
      <c r="N47" s="72">
        <f>-O36*SIN((O42)/180*PI())</f>
        <v>-14.338944193773738</v>
      </c>
      <c r="O47" s="72">
        <f>O36*COS((O42)/180*PI())</f>
        <v>-13.253846590503818</v>
      </c>
      <c r="P47" s="72">
        <f>-Q36*SIN((Q42)/180*PI())</f>
        <v>-13.040858944723738</v>
      </c>
      <c r="Q47" s="72">
        <f>Q36*COS((Q42)/180*PI())</f>
        <v>3.6803686453302915</v>
      </c>
      <c r="R47" s="9" t="e">
        <f>-S36*SIN((S42)/180*PI())</f>
        <v>#REF!</v>
      </c>
      <c r="S47" s="9" t="e">
        <f>S36*COS((S42)/180*PI())</f>
        <v>#REF!</v>
      </c>
    </row>
    <row r="48" spans="1:21" s="10" customFormat="1" x14ac:dyDescent="0.3">
      <c r="A48" t="s">
        <v>45</v>
      </c>
      <c r="B48" s="72">
        <f t="shared" ref="B48:Q48" si="4">B47-B18</f>
        <v>-0.4835832563694078</v>
      </c>
      <c r="C48" s="72">
        <f t="shared" si="4"/>
        <v>7.6850634986520561E-2</v>
      </c>
      <c r="D48" s="72">
        <f t="shared" si="4"/>
        <v>-0.5241664767759513</v>
      </c>
      <c r="E48" s="72">
        <f t="shared" si="4"/>
        <v>0.74573192096380403</v>
      </c>
      <c r="F48" s="72">
        <f t="shared" si="4"/>
        <v>0.26095976456004877</v>
      </c>
      <c r="G48" s="72">
        <f t="shared" si="4"/>
        <v>0.3629208482980868</v>
      </c>
      <c r="H48" s="72">
        <f t="shared" si="4"/>
        <v>-0.39878507246960737</v>
      </c>
      <c r="I48" s="72">
        <f t="shared" si="4"/>
        <v>-0.49470350955601461</v>
      </c>
      <c r="J48" s="72">
        <f t="shared" si="4"/>
        <v>-1.998170276207861</v>
      </c>
      <c r="K48" s="72">
        <f t="shared" si="4"/>
        <v>-1.1082821271346166</v>
      </c>
      <c r="L48" s="72">
        <f t="shared" si="4"/>
        <v>1.8883567932689429</v>
      </c>
      <c r="M48" s="72">
        <f t="shared" si="4"/>
        <v>-1.6316906960182607</v>
      </c>
      <c r="N48" s="72">
        <f t="shared" si="4"/>
        <v>2.5509246291285947</v>
      </c>
      <c r="O48" s="72">
        <f t="shared" si="4"/>
        <v>-4.1230015504677251</v>
      </c>
      <c r="P48" s="72">
        <f t="shared" si="4"/>
        <v>-2.0359304977844079</v>
      </c>
      <c r="Q48" s="72">
        <f t="shared" si="4"/>
        <v>-3.7883360534608923</v>
      </c>
      <c r="R48" s="9" t="e">
        <f t="shared" ref="R48:S48" si="5">R47-R18</f>
        <v>#REF!</v>
      </c>
      <c r="S48" s="9" t="e">
        <f t="shared" si="5"/>
        <v>#REF!</v>
      </c>
    </row>
    <row r="49" spans="1:19" x14ac:dyDescent="0.3">
      <c r="A49" t="s">
        <v>46</v>
      </c>
      <c r="B49" s="118">
        <f t="shared" ref="B49:Q49" si="6">B48^2</f>
        <v>0.23385276584084039</v>
      </c>
      <c r="C49" s="118">
        <f t="shared" si="6"/>
        <v>5.906020097831418E-3</v>
      </c>
      <c r="D49" s="118">
        <f t="shared" si="6"/>
        <v>0.27475049537571389</v>
      </c>
      <c r="E49" s="118">
        <f t="shared" si="6"/>
        <v>0.55611609794436523</v>
      </c>
      <c r="F49" s="118">
        <f t="shared" si="6"/>
        <v>6.8099998719236082E-2</v>
      </c>
      <c r="G49" s="118">
        <f t="shared" si="6"/>
        <v>0.13171154212940292</v>
      </c>
      <c r="H49" s="118">
        <f t="shared" si="6"/>
        <v>0.15902953402459</v>
      </c>
      <c r="I49" s="118">
        <f t="shared" si="6"/>
        <v>0.24473156236703783</v>
      </c>
      <c r="J49" s="118">
        <f t="shared" si="6"/>
        <v>3.9926844527205998</v>
      </c>
      <c r="K49" s="118">
        <f t="shared" si="6"/>
        <v>1.2282892733260304</v>
      </c>
      <c r="L49" s="118">
        <f t="shared" si="6"/>
        <v>3.5658913786849653</v>
      </c>
      <c r="M49" s="118">
        <f t="shared" si="6"/>
        <v>2.6624145274725559</v>
      </c>
      <c r="N49" s="118">
        <f t="shared" si="6"/>
        <v>6.507216463494859</v>
      </c>
      <c r="O49" s="118">
        <f t="shared" si="6"/>
        <v>16.999141785159264</v>
      </c>
      <c r="P49" s="118">
        <f t="shared" si="6"/>
        <v>4.1450129918086667</v>
      </c>
      <c r="Q49" s="118">
        <f t="shared" si="6"/>
        <v>14.351490053951649</v>
      </c>
      <c r="R49" t="e">
        <f t="shared" ref="R49:S49" si="7">R48^2</f>
        <v>#REF!</v>
      </c>
      <c r="S49" t="e">
        <f t="shared" si="7"/>
        <v>#REF!</v>
      </c>
    </row>
    <row r="50" spans="1:19" s="10" customFormat="1" x14ac:dyDescent="0.3">
      <c r="A50" t="s">
        <v>47</v>
      </c>
      <c r="B50" s="72"/>
      <c r="C50" s="72">
        <f>SQRT(B49+C49)</f>
        <v>0.48965169859673907</v>
      </c>
      <c r="D50" s="72"/>
      <c r="E50" s="72">
        <f>SQRT(D49+E49)</f>
        <v>0.91151883870827333</v>
      </c>
      <c r="F50" s="72"/>
      <c r="G50" s="72">
        <f>SQRT(F49+G49)</f>
        <v>0.4470028421035363</v>
      </c>
      <c r="H50" s="72"/>
      <c r="I50" s="72">
        <f>SQRT(H49+I49)</f>
        <v>0.63542198293073537</v>
      </c>
      <c r="J50" s="72"/>
      <c r="K50" s="72">
        <f>SQRT(J49+K49)</f>
        <v>2.2849450159788591</v>
      </c>
      <c r="L50" s="72"/>
      <c r="M50" s="72">
        <f>SQRT(L49+M49)</f>
        <v>2.4956574096132509</v>
      </c>
      <c r="N50" s="72"/>
      <c r="O50" s="72">
        <f>SQRT(N49+O49)</f>
        <v>4.8483356163382627</v>
      </c>
      <c r="P50" s="72"/>
      <c r="Q50" s="72">
        <f>SQRT(P49+Q49)</f>
        <v>4.3007561016361198</v>
      </c>
      <c r="R50" s="9"/>
      <c r="S50" s="9" t="e">
        <f>SQRT(R49+S49)</f>
        <v>#REF!</v>
      </c>
    </row>
    <row r="51" spans="1:19" s="10" customFormat="1" x14ac:dyDescent="0.3">
      <c r="A51" t="s">
        <v>48</v>
      </c>
      <c r="B51" s="72"/>
      <c r="C51" s="77">
        <f>C50/C36</f>
        <v>5.434032194252323E-2</v>
      </c>
      <c r="D51" s="72"/>
      <c r="E51" s="77">
        <f>E50/E36</f>
        <v>7.1183179630666976E-2</v>
      </c>
      <c r="F51" s="72"/>
      <c r="G51" s="77">
        <f>G50/G36</f>
        <v>2.377818967062028E-2</v>
      </c>
      <c r="H51" s="72"/>
      <c r="I51" s="77">
        <f>I50/I36</f>
        <v>4.7535995469195597E-2</v>
      </c>
      <c r="J51" s="72"/>
      <c r="K51" s="77">
        <f>K50/K36</f>
        <v>0.25388516522430071</v>
      </c>
      <c r="L51" s="72"/>
      <c r="M51" s="77">
        <f>M50/M36</f>
        <v>0.19380905636928383</v>
      </c>
      <c r="N51" s="72"/>
      <c r="O51" s="77">
        <f>O50/O36</f>
        <v>0.24829986825845948</v>
      </c>
      <c r="P51" s="72"/>
      <c r="Q51" s="77">
        <f>Q50/Q36</f>
        <v>0.31739325634375493</v>
      </c>
      <c r="S51" s="12" t="e">
        <f>S50/S36</f>
        <v>#REF!</v>
      </c>
    </row>
    <row r="52" spans="1:19" s="10" customFormat="1" x14ac:dyDescent="0.3">
      <c r="A52"/>
      <c r="B52" s="72"/>
      <c r="C52" s="144"/>
      <c r="D52" s="72"/>
      <c r="E52" s="144"/>
      <c r="F52" s="72"/>
      <c r="G52" s="144"/>
      <c r="H52" s="72"/>
      <c r="I52" s="144"/>
      <c r="J52" s="72"/>
      <c r="K52" s="144"/>
      <c r="L52" s="72"/>
      <c r="M52" s="144"/>
      <c r="N52" s="72"/>
      <c r="O52" s="144"/>
      <c r="P52" s="72"/>
      <c r="Q52" s="144"/>
      <c r="S52" s="12"/>
    </row>
    <row r="53" spans="1:19" s="10" customFormat="1" x14ac:dyDescent="0.3">
      <c r="A53" t="s">
        <v>89</v>
      </c>
      <c r="B53" s="72">
        <f>MEDIAN(B50:C50)</f>
        <v>0.48965169859673907</v>
      </c>
      <c r="C53" s="144"/>
      <c r="D53" s="72">
        <f>MEDIAN(D50:E50)</f>
        <v>0.91151883870827333</v>
      </c>
      <c r="E53" s="144"/>
      <c r="F53" s="72">
        <f>MEDIAN(F50:G50)</f>
        <v>0.4470028421035363</v>
      </c>
      <c r="G53" s="144"/>
      <c r="H53" s="72">
        <f>MEDIAN(H50:I50)</f>
        <v>0.63542198293073537</v>
      </c>
      <c r="I53" s="144"/>
      <c r="J53" s="72">
        <f>MEDIAN(J50:K50)</f>
        <v>2.2849450159788591</v>
      </c>
      <c r="K53" s="144"/>
      <c r="L53" s="72">
        <f>MEDIAN(L50:M50)</f>
        <v>2.4956574096132509</v>
      </c>
      <c r="M53" s="144"/>
      <c r="N53" s="72">
        <f>MEDIAN(N50:O50)</f>
        <v>4.8483356163382627</v>
      </c>
      <c r="O53" s="144"/>
      <c r="P53" s="72">
        <f>MEDIAN(P50:Q50)</f>
        <v>4.3007561016361198</v>
      </c>
      <c r="Q53" s="144"/>
      <c r="S53" s="12"/>
    </row>
    <row r="54" spans="1:19" s="10" customFormat="1" x14ac:dyDescent="0.3">
      <c r="A54" t="s">
        <v>81</v>
      </c>
      <c r="B54" s="72">
        <f>AVERAGE(B50:C50)</f>
        <v>0.48965169859673907</v>
      </c>
      <c r="C54" s="144"/>
      <c r="D54" s="72">
        <f>AVERAGE(D50:E50)</f>
        <v>0.91151883870827333</v>
      </c>
      <c r="E54" s="144"/>
      <c r="F54" s="72">
        <f>AVERAGE(F50:G50)</f>
        <v>0.4470028421035363</v>
      </c>
      <c r="G54" s="144"/>
      <c r="H54" s="72">
        <f>AVERAGE(H50:I50)</f>
        <v>0.63542198293073537</v>
      </c>
      <c r="I54" s="144"/>
      <c r="J54" s="72">
        <f>AVERAGE(J50:K50)</f>
        <v>2.2849450159788591</v>
      </c>
      <c r="K54" s="144"/>
      <c r="L54" s="72">
        <f>AVERAGE(L50:M50)</f>
        <v>2.4956574096132509</v>
      </c>
      <c r="M54" s="144"/>
      <c r="N54" s="72">
        <f>AVERAGE(N50:O50)</f>
        <v>4.8483356163382627</v>
      </c>
      <c r="O54" s="144"/>
      <c r="P54" s="72">
        <f>AVERAGE(P50:Q50)</f>
        <v>4.3007561016361198</v>
      </c>
      <c r="Q54" s="144"/>
      <c r="S54" s="12"/>
    </row>
    <row r="55" spans="1:19" s="10" customFormat="1" x14ac:dyDescent="0.3">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S55" s="12"/>
    </row>
    <row r="56" spans="1:19" s="10" customFormat="1" x14ac:dyDescent="0.3">
      <c r="A56" t="s">
        <v>83</v>
      </c>
      <c r="B56" s="72"/>
      <c r="C56" s="144"/>
      <c r="D56" s="72"/>
      <c r="E56" s="144"/>
      <c r="F56" s="72"/>
      <c r="G56" s="144"/>
      <c r="H56" s="72"/>
      <c r="I56" s="144"/>
      <c r="J56" s="72"/>
      <c r="K56" s="144"/>
      <c r="L56" s="72"/>
      <c r="M56" s="144"/>
      <c r="N56" s="72"/>
      <c r="O56" s="144"/>
      <c r="P56" s="72"/>
      <c r="Q56" s="144"/>
      <c r="S56" s="12"/>
    </row>
    <row r="57" spans="1:19" s="10" customFormat="1" x14ac:dyDescent="0.3">
      <c r="A57"/>
      <c r="B57" s="72"/>
      <c r="C57" s="72"/>
      <c r="D57" s="72"/>
      <c r="E57" s="72"/>
      <c r="F57" s="72"/>
      <c r="G57" s="72"/>
      <c r="H57" s="72"/>
      <c r="I57" s="72"/>
      <c r="J57" s="72"/>
      <c r="K57" s="72"/>
      <c r="L57" s="72"/>
      <c r="M57" s="72"/>
      <c r="N57" s="72"/>
      <c r="O57" s="72"/>
      <c r="P57" s="72"/>
      <c r="Q57" s="72"/>
    </row>
    <row r="58" spans="1:19" s="10" customFormat="1" x14ac:dyDescent="0.3">
      <c r="B58" s="139"/>
      <c r="C58" s="139"/>
      <c r="D58" s="139"/>
      <c r="E58" s="139"/>
      <c r="F58" s="139"/>
      <c r="G58" s="139"/>
      <c r="H58" s="139"/>
      <c r="I58" s="139"/>
      <c r="J58" s="139"/>
      <c r="K58" s="139"/>
      <c r="L58" s="139"/>
      <c r="M58" s="139"/>
      <c r="N58" s="139"/>
      <c r="O58" s="139"/>
      <c r="P58" s="139"/>
      <c r="Q58" s="139"/>
    </row>
    <row r="59" spans="1:19" x14ac:dyDescent="0.3">
      <c r="A59" s="7" t="s">
        <v>27</v>
      </c>
      <c r="B59" s="166">
        <f>AVERAGE(C36,G36)</f>
        <v>13.904847369922951</v>
      </c>
      <c r="C59" s="141">
        <f>AVERAGE(C37:I37)</f>
        <v>-2.9468496014074752E-2</v>
      </c>
      <c r="D59" s="166">
        <f>AVERAGE(E36,I36)</f>
        <v>13.0862156380489</v>
      </c>
      <c r="E59" s="141">
        <f>AVERAGE(E37:K37)</f>
        <v>-3.2198497639608803E-2</v>
      </c>
      <c r="F59" s="166">
        <f>AVERAGE(G36,K36)</f>
        <v>13.899387366671881</v>
      </c>
      <c r="G59" s="141">
        <f>AVERAGE(G37:M37)</f>
        <v>-1.4290632297936146E-2</v>
      </c>
      <c r="H59" s="166">
        <f>AVERAGE(I36,M36)</f>
        <v>13.122031368732245</v>
      </c>
      <c r="I59" s="141">
        <f>AVERAGE(I37:O37)</f>
        <v>0.16752715238637483</v>
      </c>
      <c r="J59" s="166">
        <f>AVERAGE(K36,O36)</f>
        <v>14.263022936040503</v>
      </c>
      <c r="K59" s="141">
        <f>AVERAGE(K37:Q37)</f>
        <v>0.21329436257913326</v>
      </c>
      <c r="L59" s="166">
        <f>AVERAGE(M36,Q36)</f>
        <v>13.213565789117762</v>
      </c>
      <c r="M59" s="141" t="e">
        <f>AVERAGE(M37:S37)</f>
        <v>#REF!</v>
      </c>
      <c r="N59" s="166" t="e">
        <f>AVERAGE(O36,S36)</f>
        <v>#REF!</v>
      </c>
      <c r="O59" s="141" t="e">
        <f>AVERAGE(O37:U37)</f>
        <v>#REF!</v>
      </c>
      <c r="P59" s="166">
        <f>AVERAGE(Q36,U36)</f>
        <v>13.55024410782741</v>
      </c>
      <c r="Q59" s="141" t="e">
        <f>AVERAGE(Q37:W37)</f>
        <v>#REF!</v>
      </c>
    </row>
    <row r="60" spans="1:19" x14ac:dyDescent="0.3">
      <c r="A60" t="s">
        <v>21</v>
      </c>
      <c r="B60" s="166">
        <f>STDEV(C36,G36)</f>
        <v>6.9211780505003073</v>
      </c>
      <c r="C60" s="118">
        <f>STDEV(C37:I37)</f>
        <v>0.29863461429039678</v>
      </c>
      <c r="D60" s="166">
        <f>STDEV(E36,I36)</f>
        <v>0.39733691782168651</v>
      </c>
      <c r="E60" s="118">
        <f>STDEV(E37:K37)</f>
        <v>0.29450811598868254</v>
      </c>
      <c r="F60" s="166">
        <f>STDEV(G36,K36)</f>
        <v>6.928899661148578</v>
      </c>
      <c r="G60" s="118">
        <f>STDEV(G37:M37)</f>
        <v>0.29160072054442249</v>
      </c>
      <c r="H60" s="166">
        <f>STDEV(I36,M36)</f>
        <v>0.34668582574299739</v>
      </c>
      <c r="I60" s="118">
        <f>STDEV(I37:O37)</f>
        <v>0.17233267128785054</v>
      </c>
      <c r="J60" s="166">
        <f>STDEV(K36,O36)</f>
        <v>7.4431580151109475</v>
      </c>
      <c r="K60" s="118">
        <f>STDEV(K37:Q37)</f>
        <v>0.16071578691638172</v>
      </c>
      <c r="L60" s="166">
        <f>STDEV(M36,Q36)</f>
        <v>0.47613504447615562</v>
      </c>
      <c r="M60" s="118" t="e">
        <f>STDEV(M37:S37)</f>
        <v>#REF!</v>
      </c>
      <c r="N60" s="166" t="e">
        <f>STDEV(O36,S36)</f>
        <v>#REF!</v>
      </c>
      <c r="O60" s="118" t="e">
        <f>STDEV(O37:U37)</f>
        <v>#REF!</v>
      </c>
      <c r="P60" s="166" t="e">
        <f>STDEV(Q36,U36)</f>
        <v>#DIV/0!</v>
      </c>
      <c r="Q60" s="118" t="e">
        <f>STDEV(Q37:W37)</f>
        <v>#REF!</v>
      </c>
    </row>
    <row r="61" spans="1:19" x14ac:dyDescent="0.3">
      <c r="A61" t="s">
        <v>24</v>
      </c>
      <c r="B61" s="166">
        <f>AVERAGE(C42,G42)</f>
        <v>74.695389835554607</v>
      </c>
      <c r="C61" s="118"/>
      <c r="D61" s="166">
        <f>AVERAGE(E42,I42)</f>
        <v>93.798057853405282</v>
      </c>
      <c r="E61" s="118"/>
      <c r="F61" s="166">
        <f>AVERAGE(G42,K42)</f>
        <v>80.824906257470104</v>
      </c>
      <c r="G61" s="118"/>
      <c r="H61" s="166">
        <f>AVERAGE(I42,M42)</f>
        <v>101.37492595238763</v>
      </c>
      <c r="I61" s="118"/>
      <c r="J61" s="166">
        <f>AVERAGE(K42,O42)</f>
        <v>88.298229347504474</v>
      </c>
      <c r="K61" s="118"/>
      <c r="L61" s="166">
        <f>AVERAGE(M42,Q42)</f>
        <v>109.21895350888948</v>
      </c>
      <c r="M61" s="118"/>
      <c r="N61" s="166" t="e">
        <f>AVERAGE(O42,S42)</f>
        <v>#REF!</v>
      </c>
      <c r="O61" s="118"/>
      <c r="P61" s="166">
        <f>AVERAGE(Q42,U42)</f>
        <v>74.239964090502326</v>
      </c>
      <c r="Q61" s="118"/>
    </row>
    <row r="62" spans="1:19" x14ac:dyDescent="0.3">
      <c r="A62" t="s">
        <v>24</v>
      </c>
      <c r="B62" s="166">
        <f>STDEV(C42,G42)</f>
        <v>60.961011786616076</v>
      </c>
      <c r="C62" s="118"/>
      <c r="D62" s="166">
        <f>STDEV(E42,I42)</f>
        <v>49.845581761728447</v>
      </c>
      <c r="E62" s="118"/>
      <c r="F62" s="166">
        <f>STDEV(G42,K42)</f>
        <v>52.292566531954577</v>
      </c>
      <c r="G62" s="118"/>
      <c r="H62" s="166">
        <f>STDEV(I42,M42)</f>
        <v>60.560891387621325</v>
      </c>
      <c r="I62" s="118"/>
      <c r="J62" s="166">
        <f>STDEV(K42,O42)</f>
        <v>62.861441401877194</v>
      </c>
      <c r="K62" s="118"/>
      <c r="L62" s="166">
        <f>STDEV(M42,Q42)</f>
        <v>49.467761233588128</v>
      </c>
      <c r="M62" s="118"/>
      <c r="N62" s="166" t="e">
        <f>STDEV(O42,S42)</f>
        <v>#REF!</v>
      </c>
      <c r="O62" s="118"/>
      <c r="P62" s="166" t="e">
        <f>STDEV(Q42,U42)</f>
        <v>#DIV/0!</v>
      </c>
      <c r="Q62" s="118"/>
    </row>
    <row r="63" spans="1:19" x14ac:dyDescent="0.3">
      <c r="A63" t="s">
        <v>24</v>
      </c>
    </row>
  </sheetData>
  <mergeCells count="10">
    <mergeCell ref="B10:C10"/>
    <mergeCell ref="D10:E10"/>
    <mergeCell ref="P10:Q10"/>
    <mergeCell ref="R10:S10"/>
    <mergeCell ref="T2:U2"/>
    <mergeCell ref="F10:G10"/>
    <mergeCell ref="H10:I10"/>
    <mergeCell ref="J10:K10"/>
    <mergeCell ref="L10:M10"/>
    <mergeCell ref="N10:O10"/>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2"/>
  <sheetViews>
    <sheetView zoomScale="80" zoomScaleNormal="80" workbookViewId="0">
      <pane xSplit="1" ySplit="2" topLeftCell="B3" activePane="bottomRight" state="frozenSplit"/>
      <selection pane="topRight"/>
      <selection pane="bottomLeft" activeCell="A3" sqref="A3"/>
      <selection pane="bottomRight" activeCell="D67" sqref="D67"/>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 min="8" max="8" width="9.5546875" bestFit="1" customWidth="1"/>
    <col min="9" max="9" width="12" customWidth="1"/>
    <col min="11" max="11" width="11.109375" customWidth="1"/>
    <col min="13" max="13" width="9.5546875" customWidth="1"/>
    <col min="14" max="14" width="9.5546875" bestFit="1" customWidth="1"/>
    <col min="15" max="15" width="12" customWidth="1"/>
    <col min="17" max="17" width="11.109375" customWidth="1"/>
    <col min="19" max="19" width="9.5546875" customWidth="1"/>
    <col min="20" max="20" width="9.5546875" bestFit="1" customWidth="1"/>
    <col min="21" max="21" width="12" customWidth="1"/>
    <col min="23" max="23" width="11.109375" customWidth="1"/>
    <col min="25" max="25" width="9.5546875" customWidth="1"/>
    <col min="26" max="26" width="9.5546875" bestFit="1" customWidth="1"/>
    <col min="27" max="27" width="12" customWidth="1"/>
    <col min="29" max="29" width="11.109375" customWidth="1"/>
    <col min="31" max="31" width="9.5546875" customWidth="1"/>
  </cols>
  <sheetData>
    <row r="1" spans="1:31" s="19" customFormat="1" x14ac:dyDescent="0.3">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48" customFormat="1" x14ac:dyDescent="0.3">
      <c r="C2" s="348" t="s">
        <v>443</v>
      </c>
      <c r="E2" s="348" t="s">
        <v>444</v>
      </c>
      <c r="G2" s="348" t="s">
        <v>445</v>
      </c>
      <c r="I2" s="348" t="s">
        <v>443</v>
      </c>
      <c r="K2" s="348" t="s">
        <v>444</v>
      </c>
      <c r="M2" s="348" t="s">
        <v>445</v>
      </c>
      <c r="O2" s="348" t="s">
        <v>443</v>
      </c>
      <c r="Q2" s="348" t="s">
        <v>444</v>
      </c>
      <c r="S2" s="348" t="s">
        <v>445</v>
      </c>
      <c r="U2" s="348" t="s">
        <v>443</v>
      </c>
      <c r="W2" s="348" t="s">
        <v>444</v>
      </c>
      <c r="Y2" s="348" t="s">
        <v>445</v>
      </c>
      <c r="AA2" s="348" t="s">
        <v>443</v>
      </c>
      <c r="AC2" s="348" t="s">
        <v>444</v>
      </c>
      <c r="AE2" s="348" t="s">
        <v>445</v>
      </c>
    </row>
    <row r="3" spans="1:31" s="348" customFormat="1" x14ac:dyDescent="0.3">
      <c r="B3" s="348" t="s">
        <v>446</v>
      </c>
      <c r="C3" s="348" t="s">
        <v>447</v>
      </c>
      <c r="H3" s="348" t="s">
        <v>446</v>
      </c>
      <c r="I3" s="348" t="s">
        <v>447</v>
      </c>
      <c r="K3" s="357"/>
      <c r="N3" s="348" t="s">
        <v>446</v>
      </c>
      <c r="O3" s="348" t="s">
        <v>447</v>
      </c>
      <c r="Q3" s="357" t="s">
        <v>451</v>
      </c>
      <c r="T3" s="348" t="s">
        <v>446</v>
      </c>
      <c r="U3" s="348" t="s">
        <v>447</v>
      </c>
      <c r="W3" s="357"/>
      <c r="Z3" s="348" t="s">
        <v>446</v>
      </c>
      <c r="AA3" s="348" t="s">
        <v>447</v>
      </c>
      <c r="AC3" s="357"/>
    </row>
    <row r="4" spans="1:31" x14ac:dyDescent="0.3">
      <c r="A4" t="s">
        <v>1</v>
      </c>
      <c r="B4" s="350">
        <v>1774.8430000000001</v>
      </c>
      <c r="C4" s="350">
        <v>1239.232</v>
      </c>
      <c r="D4" s="350">
        <v>1774.8430000000001</v>
      </c>
      <c r="E4" s="350">
        <v>1239.232</v>
      </c>
      <c r="F4" s="350">
        <v>1774.8430000000001</v>
      </c>
      <c r="G4" s="350">
        <v>1239.232</v>
      </c>
      <c r="H4" s="350">
        <v>1776</v>
      </c>
      <c r="I4" s="350">
        <v>1240</v>
      </c>
      <c r="J4" s="350">
        <v>1776</v>
      </c>
      <c r="K4" s="350">
        <v>1240</v>
      </c>
      <c r="L4" s="350">
        <v>1776</v>
      </c>
      <c r="M4" s="350">
        <v>1240</v>
      </c>
      <c r="N4" s="350">
        <v>1763.0060000000001</v>
      </c>
      <c r="O4" s="350">
        <v>1276.019</v>
      </c>
      <c r="P4" s="350">
        <v>1763.0060000000001</v>
      </c>
      <c r="Q4" s="350">
        <v>1276.019</v>
      </c>
      <c r="R4" s="350">
        <v>1763.0060000000001</v>
      </c>
      <c r="S4" s="350">
        <v>1276.019</v>
      </c>
      <c r="T4" s="350">
        <v>1736.1079999999999</v>
      </c>
      <c r="U4" s="350">
        <v>1254.855</v>
      </c>
      <c r="V4" s="350">
        <v>1736.1079999999999</v>
      </c>
      <c r="W4" s="350">
        <v>1254.855</v>
      </c>
      <c r="X4" s="350">
        <v>1736.1079999999999</v>
      </c>
      <c r="Y4" s="350">
        <v>1254.855</v>
      </c>
      <c r="Z4" s="350">
        <v>1748.627</v>
      </c>
      <c r="AA4" s="350">
        <v>1334.306</v>
      </c>
      <c r="AB4" s="350">
        <v>1748.627</v>
      </c>
      <c r="AC4" s="350">
        <v>1334.306</v>
      </c>
      <c r="AD4" s="350">
        <v>1748.627</v>
      </c>
      <c r="AE4" s="350">
        <v>1334.306</v>
      </c>
    </row>
    <row r="5" spans="1:31" x14ac:dyDescent="0.3">
      <c r="A5" t="s">
        <v>2</v>
      </c>
      <c r="B5" s="350">
        <v>1768</v>
      </c>
      <c r="C5" s="350">
        <v>1233</v>
      </c>
      <c r="D5" s="350">
        <v>1723.7190000000001</v>
      </c>
      <c r="E5" s="350">
        <v>1366.77</v>
      </c>
      <c r="F5" s="350">
        <v>1982.5229999999999</v>
      </c>
      <c r="G5" s="350">
        <v>1528.027</v>
      </c>
      <c r="H5" s="350">
        <v>1770</v>
      </c>
      <c r="I5" s="350">
        <v>1234</v>
      </c>
      <c r="J5" s="350">
        <v>1723.0029999999999</v>
      </c>
      <c r="K5" s="350">
        <v>1366.1489999999999</v>
      </c>
      <c r="L5" s="350">
        <v>1980.9580000000001</v>
      </c>
      <c r="M5" s="350">
        <v>1528.164</v>
      </c>
      <c r="N5" s="350">
        <v>1756.5</v>
      </c>
      <c r="O5" s="350">
        <v>1270.5</v>
      </c>
      <c r="P5" s="350">
        <v>1711.0319999999999</v>
      </c>
      <c r="Q5" s="350">
        <v>1403.2909999999999</v>
      </c>
      <c r="R5" s="350">
        <v>1969.135</v>
      </c>
      <c r="S5" s="350">
        <v>1565.6279999999999</v>
      </c>
      <c r="T5" s="350">
        <v>1730</v>
      </c>
      <c r="U5" s="350">
        <v>1250</v>
      </c>
      <c r="V5" s="350">
        <v>1684.681</v>
      </c>
      <c r="W5" s="350">
        <v>1382.7860000000001</v>
      </c>
      <c r="X5" s="350">
        <v>1946.193</v>
      </c>
      <c r="Y5" s="350">
        <v>1545.3620000000001</v>
      </c>
      <c r="Z5" s="350">
        <v>1742</v>
      </c>
      <c r="AA5" s="350">
        <v>1328</v>
      </c>
      <c r="AB5" s="350">
        <v>1695.7159999999999</v>
      </c>
      <c r="AC5" s="350">
        <v>1461.5260000000001</v>
      </c>
      <c r="AD5" s="350">
        <v>1954.684</v>
      </c>
      <c r="AE5" s="350">
        <v>1622.65</v>
      </c>
    </row>
    <row r="6" spans="1:31" x14ac:dyDescent="0.3">
      <c r="A6" t="s">
        <v>4</v>
      </c>
      <c r="B6">
        <f t="shared" ref="B6:G6" si="0">B5-B4</f>
        <v>-6.8430000000000746</v>
      </c>
      <c r="C6">
        <f t="shared" si="0"/>
        <v>-6.2319999999999709</v>
      </c>
      <c r="D6">
        <f t="shared" si="0"/>
        <v>-51.124000000000024</v>
      </c>
      <c r="E6">
        <f t="shared" si="0"/>
        <v>127.53800000000001</v>
      </c>
      <c r="F6">
        <f t="shared" si="0"/>
        <v>207.67999999999984</v>
      </c>
      <c r="G6">
        <f t="shared" si="0"/>
        <v>288.79500000000007</v>
      </c>
      <c r="H6">
        <f t="shared" ref="H6:M6" si="1">H5-H4</f>
        <v>-6</v>
      </c>
      <c r="I6">
        <f t="shared" si="1"/>
        <v>-6</v>
      </c>
      <c r="J6">
        <f t="shared" si="1"/>
        <v>-52.997000000000071</v>
      </c>
      <c r="K6">
        <f t="shared" si="1"/>
        <v>126.14899999999989</v>
      </c>
      <c r="L6">
        <f t="shared" si="1"/>
        <v>204.95800000000008</v>
      </c>
      <c r="M6">
        <f t="shared" si="1"/>
        <v>288.16399999999999</v>
      </c>
      <c r="N6">
        <f t="shared" ref="N6:S6" si="2">N5-N4</f>
        <v>-6.5060000000000855</v>
      </c>
      <c r="O6">
        <f t="shared" si="2"/>
        <v>-5.5190000000000055</v>
      </c>
      <c r="P6">
        <f t="shared" si="2"/>
        <v>-51.97400000000016</v>
      </c>
      <c r="Q6">
        <f t="shared" si="2"/>
        <v>127.27199999999993</v>
      </c>
      <c r="R6">
        <f t="shared" si="2"/>
        <v>206.12899999999991</v>
      </c>
      <c r="S6">
        <f t="shared" si="2"/>
        <v>289.60899999999992</v>
      </c>
      <c r="T6">
        <f t="shared" ref="T6:Y6" si="3">T5-T4</f>
        <v>-6.1079999999999472</v>
      </c>
      <c r="U6">
        <f t="shared" si="3"/>
        <v>-4.8550000000000182</v>
      </c>
      <c r="V6">
        <f t="shared" si="3"/>
        <v>-51.426999999999907</v>
      </c>
      <c r="W6">
        <f t="shared" si="3"/>
        <v>127.93100000000004</v>
      </c>
      <c r="X6">
        <f t="shared" si="3"/>
        <v>210.08500000000004</v>
      </c>
      <c r="Y6">
        <f t="shared" si="3"/>
        <v>290.50700000000006</v>
      </c>
      <c r="Z6">
        <f t="shared" ref="Z6:AE6" si="4">Z5-Z4</f>
        <v>-6.6269999999999527</v>
      </c>
      <c r="AA6">
        <f t="shared" si="4"/>
        <v>-6.30600000000004</v>
      </c>
      <c r="AB6">
        <f t="shared" si="4"/>
        <v>-52.911000000000058</v>
      </c>
      <c r="AC6">
        <f t="shared" si="4"/>
        <v>127.22000000000003</v>
      </c>
      <c r="AD6">
        <f t="shared" si="4"/>
        <v>206.05700000000002</v>
      </c>
      <c r="AE6">
        <f t="shared" si="4"/>
        <v>288.34400000000005</v>
      </c>
    </row>
    <row r="7" spans="1:31" x14ac:dyDescent="0.3">
      <c r="A7" t="s">
        <v>5</v>
      </c>
      <c r="B7">
        <f t="shared" ref="B7:G7" si="5">B6^2</f>
        <v>46.826649000001019</v>
      </c>
      <c r="C7">
        <f t="shared" si="5"/>
        <v>38.837823999999635</v>
      </c>
      <c r="D7">
        <f t="shared" si="5"/>
        <v>2613.6633760000022</v>
      </c>
      <c r="E7">
        <f t="shared" si="5"/>
        <v>16265.941444000004</v>
      </c>
      <c r="F7">
        <f t="shared" si="5"/>
        <v>43130.982399999935</v>
      </c>
      <c r="G7">
        <f t="shared" si="5"/>
        <v>83402.552025000041</v>
      </c>
      <c r="H7">
        <f t="shared" ref="H7:M7" si="6">H6^2</f>
        <v>36</v>
      </c>
      <c r="I7">
        <f t="shared" si="6"/>
        <v>36</v>
      </c>
      <c r="J7">
        <f t="shared" si="6"/>
        <v>2808.6820090000074</v>
      </c>
      <c r="K7">
        <f t="shared" si="6"/>
        <v>15913.570200999971</v>
      </c>
      <c r="L7">
        <f t="shared" si="6"/>
        <v>42007.781764000036</v>
      </c>
      <c r="M7">
        <f t="shared" si="6"/>
        <v>83038.490895999988</v>
      </c>
      <c r="N7">
        <f t="shared" ref="N7:S7" si="7">N6^2</f>
        <v>42.328036000001113</v>
      </c>
      <c r="O7">
        <f t="shared" si="7"/>
        <v>30.459361000000062</v>
      </c>
      <c r="P7">
        <f t="shared" si="7"/>
        <v>2701.2966760000168</v>
      </c>
      <c r="Q7">
        <f t="shared" si="7"/>
        <v>16198.161983999984</v>
      </c>
      <c r="R7">
        <f t="shared" si="7"/>
        <v>42489.164640999959</v>
      </c>
      <c r="S7">
        <f t="shared" si="7"/>
        <v>83873.372880999959</v>
      </c>
      <c r="T7">
        <f t="shared" ref="T7:Y7" si="8">T6^2</f>
        <v>37.307663999999356</v>
      </c>
      <c r="U7">
        <f t="shared" si="8"/>
        <v>23.571025000000176</v>
      </c>
      <c r="V7">
        <f t="shared" si="8"/>
        <v>2644.7363289999903</v>
      </c>
      <c r="W7">
        <f t="shared" si="8"/>
        <v>16366.34076100001</v>
      </c>
      <c r="X7">
        <f t="shared" si="8"/>
        <v>44135.707225000013</v>
      </c>
      <c r="Y7">
        <f t="shared" si="8"/>
        <v>84394.317049000034</v>
      </c>
      <c r="Z7">
        <f t="shared" ref="Z7:AE7" si="9">Z6^2</f>
        <v>43.91712899999937</v>
      </c>
      <c r="AA7">
        <f t="shared" si="9"/>
        <v>39.765636000000505</v>
      </c>
      <c r="AB7">
        <f t="shared" si="9"/>
        <v>2799.5739210000061</v>
      </c>
      <c r="AC7">
        <f t="shared" si="9"/>
        <v>16184.928400000006</v>
      </c>
      <c r="AD7">
        <f t="shared" si="9"/>
        <v>42459.487249000005</v>
      </c>
      <c r="AE7">
        <f t="shared" si="9"/>
        <v>83142.262336000029</v>
      </c>
    </row>
    <row r="8" spans="1:31" x14ac:dyDescent="0.3">
      <c r="A8" t="s">
        <v>6</v>
      </c>
      <c r="C8">
        <f>SQRT(SUM(B7:C7))</f>
        <v>9.2555104127217458</v>
      </c>
      <c r="E8">
        <f>SQRT(SUM(D7:E7))</f>
        <v>137.40307427419521</v>
      </c>
      <c r="G8">
        <f>SQRT(SUM(F7:G7))</f>
        <v>355.71552457687307</v>
      </c>
      <c r="I8">
        <f>SQRT(SUM(H7:I7))</f>
        <v>8.4852813742385695</v>
      </c>
      <c r="K8">
        <f>SQRT(SUM(J7:K7))</f>
        <v>136.82928125953148</v>
      </c>
      <c r="M8">
        <f>SQRT(SUM(L7:M7))</f>
        <v>353.61882396162116</v>
      </c>
      <c r="O8">
        <f>SQRT(SUM(N7:O7))</f>
        <v>8.5315530239225019</v>
      </c>
      <c r="Q8">
        <f>SQRT(SUM(P7:Q7))</f>
        <v>137.475302000032</v>
      </c>
      <c r="S8">
        <f>SQRT(SUM(R7:S7))</f>
        <v>355.47508706237056</v>
      </c>
      <c r="U8">
        <f>SQRT(SUM(T7:U7))</f>
        <v>7.8024796699510555</v>
      </c>
      <c r="W8">
        <f>SQRT(SUM(V7:W7))</f>
        <v>137.88066249478206</v>
      </c>
      <c r="Y8">
        <f>SQRT(SUM(X7:Y7))</f>
        <v>358.51084261706791</v>
      </c>
      <c r="AA8">
        <f>SQRT(SUM(Z7:AA7))</f>
        <v>9.1478284308353679</v>
      </c>
      <c r="AC8">
        <f>SQRT(SUM(AB7:AC7))</f>
        <v>137.78426006260662</v>
      </c>
      <c r="AE8">
        <f>SQRT(SUM(AD7:AE7))</f>
        <v>354.40337129463097</v>
      </c>
    </row>
    <row r="9" spans="1:31" x14ac:dyDescent="0.3">
      <c r="A9" t="s">
        <v>7</v>
      </c>
      <c r="C9">
        <f>MOD(ATAN2(C6,B6)*180/PI()+270,360)</f>
        <v>137.67550838571623</v>
      </c>
      <c r="E9">
        <f>MOD(ATAN2(E6,D6)*180/PI()+270,360)</f>
        <v>248.15646685134217</v>
      </c>
      <c r="G9">
        <f>MOD(ATAN2(G6,F6)*180/PI()+270,360)</f>
        <v>305.72089468876567</v>
      </c>
      <c r="I9">
        <f>MOD(ATAN2(I6,H6)*180/PI()+270,360)</f>
        <v>135</v>
      </c>
      <c r="K9">
        <f>MOD(ATAN2(K6,J6)*180/PI()+270,360)</f>
        <v>247.21202713981211</v>
      </c>
      <c r="M9">
        <f>MOD(ATAN2(M6,L6)*180/PI()+270,360)</f>
        <v>305.42251899378982</v>
      </c>
      <c r="O9">
        <f>MOD(ATAN2(O6,N6)*180/PI()+270,360)</f>
        <v>139.69226207158164</v>
      </c>
      <c r="Q9">
        <f>MOD(ATAN2(Q6,P6)*180/PI()+270,360)</f>
        <v>247.7863944316482</v>
      </c>
      <c r="S9">
        <f>MOD(ATAN2(S6,R6)*180/PI()+270,360)</f>
        <v>305.44133263686376</v>
      </c>
      <c r="U9">
        <f>MOD(ATAN2(U6,T6)*180/PI()+270,360)</f>
        <v>141.52024394311866</v>
      </c>
      <c r="W9">
        <f>MOD(ATAN2(W6,V6)*180/PI()+270,360)</f>
        <v>248.10035944054746</v>
      </c>
      <c r="Y9">
        <f>MOD(ATAN2(Y6,X6)*180/PI()+270,360)</f>
        <v>305.87320265361512</v>
      </c>
      <c r="AA9">
        <f>MOD(ATAN2(AA6,Z6)*180/PI()+270,360)</f>
        <v>136.4218023561302</v>
      </c>
      <c r="AC9">
        <f>MOD(ATAN2(AC6,AB6)*180/PI()+270,360)</f>
        <v>247.41749640066035</v>
      </c>
      <c r="AE9">
        <f>MOD(ATAN2(AE6,AD6)*180/PI()+270,360)</f>
        <v>305.55043861559489</v>
      </c>
    </row>
    <row r="10" spans="1:31" s="349" customFormat="1" ht="117" customHeight="1" x14ac:dyDescent="0.3">
      <c r="A10" s="16" t="s">
        <v>40</v>
      </c>
      <c r="B10" s="393" t="s">
        <v>448</v>
      </c>
      <c r="C10" s="393"/>
      <c r="D10" s="393" t="s">
        <v>450</v>
      </c>
      <c r="E10" s="393"/>
      <c r="F10" s="393" t="s">
        <v>449</v>
      </c>
      <c r="G10" s="393"/>
      <c r="H10" s="393" t="s">
        <v>454</v>
      </c>
      <c r="I10" s="393"/>
      <c r="J10" s="393" t="s">
        <v>452</v>
      </c>
      <c r="K10" s="393"/>
      <c r="L10" s="393" t="s">
        <v>453</v>
      </c>
      <c r="M10" s="393"/>
      <c r="N10" s="393" t="s">
        <v>455</v>
      </c>
      <c r="O10" s="393"/>
      <c r="P10" s="393" t="s">
        <v>459</v>
      </c>
      <c r="Q10" s="393"/>
      <c r="R10" s="393" t="s">
        <v>460</v>
      </c>
      <c r="S10" s="393"/>
      <c r="T10" s="393" t="s">
        <v>456</v>
      </c>
      <c r="U10" s="393"/>
      <c r="V10" s="393" t="s">
        <v>457</v>
      </c>
      <c r="W10" s="393"/>
      <c r="X10" s="393" t="s">
        <v>458</v>
      </c>
      <c r="Y10" s="393"/>
      <c r="Z10" s="393" t="s">
        <v>461</v>
      </c>
      <c r="AA10" s="393"/>
      <c r="AB10" s="393" t="s">
        <v>461</v>
      </c>
      <c r="AC10" s="393"/>
      <c r="AD10" s="393" t="s">
        <v>461</v>
      </c>
      <c r="AE10" s="393"/>
    </row>
    <row r="11" spans="1:31" s="19" customFormat="1" x14ac:dyDescent="0.3">
      <c r="A11" s="20" t="s">
        <v>37</v>
      </c>
      <c r="B11" s="20"/>
      <c r="C11" s="20"/>
      <c r="D11" s="20"/>
      <c r="E11" s="20"/>
      <c r="H11" s="20"/>
      <c r="I11" s="20"/>
      <c r="J11" s="20"/>
      <c r="K11" s="20"/>
      <c r="N11" s="20"/>
      <c r="O11" s="20"/>
      <c r="P11" s="20"/>
      <c r="Q11" s="20"/>
      <c r="T11" s="20"/>
      <c r="U11" s="20"/>
      <c r="V11" s="20"/>
      <c r="W11" s="20"/>
      <c r="Z11" s="20"/>
      <c r="AA11" s="20"/>
      <c r="AB11" s="20"/>
      <c r="AC11" s="20"/>
    </row>
    <row r="12" spans="1:31" s="1" customFormat="1" x14ac:dyDescent="0.3">
      <c r="B12" s="6"/>
      <c r="D12" s="6"/>
      <c r="H12" s="6"/>
      <c r="J12" s="6"/>
      <c r="N12" s="6"/>
      <c r="P12" s="6"/>
      <c r="T12" s="6"/>
      <c r="V12" s="6"/>
      <c r="Z12" s="6"/>
      <c r="AB12" s="6"/>
    </row>
    <row r="13" spans="1:31" x14ac:dyDescent="0.3">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
      <c r="A16" t="s">
        <v>13</v>
      </c>
      <c r="B16" s="4"/>
      <c r="C16" s="350">
        <v>4.8780000000000001</v>
      </c>
      <c r="D16" s="4"/>
      <c r="E16" s="350">
        <v>69.900000000000006</v>
      </c>
      <c r="F16" s="4"/>
      <c r="G16" s="350">
        <v>182.4</v>
      </c>
      <c r="H16" s="4"/>
      <c r="I16" s="350">
        <v>4.8780000000000001</v>
      </c>
      <c r="J16" s="4"/>
      <c r="K16" s="350">
        <v>69.900000000000006</v>
      </c>
      <c r="L16" s="4"/>
      <c r="M16" s="350">
        <v>182.4</v>
      </c>
      <c r="N16" s="4"/>
      <c r="O16" s="350">
        <v>4.8780000000000001</v>
      </c>
      <c r="P16" s="4"/>
      <c r="Q16" s="350">
        <v>69.900000000000006</v>
      </c>
      <c r="R16" s="4"/>
      <c r="S16" s="350">
        <v>182.4</v>
      </c>
      <c r="T16" s="4"/>
      <c r="U16" s="350">
        <v>4.8780000000000001</v>
      </c>
      <c r="V16" s="4"/>
      <c r="W16" s="350">
        <v>69.900000000000006</v>
      </c>
      <c r="X16" s="4"/>
      <c r="Y16" s="350">
        <v>182.4</v>
      </c>
      <c r="Z16" s="4"/>
      <c r="AA16" s="350">
        <v>4.8780000000000001</v>
      </c>
      <c r="AB16" s="4"/>
      <c r="AC16" s="350">
        <v>69.900000000000006</v>
      </c>
      <c r="AD16" s="4"/>
      <c r="AE16" s="350">
        <v>182.4</v>
      </c>
    </row>
    <row r="17" spans="1:31" x14ac:dyDescent="0.3">
      <c r="A17" t="s">
        <v>7</v>
      </c>
      <c r="C17" s="350">
        <v>55.12</v>
      </c>
      <c r="E17" s="350">
        <v>161</v>
      </c>
      <c r="G17" s="350">
        <v>221</v>
      </c>
      <c r="I17" s="350">
        <v>55.12</v>
      </c>
      <c r="K17" s="350">
        <v>161</v>
      </c>
      <c r="M17" s="350">
        <v>221</v>
      </c>
      <c r="O17" s="350">
        <v>55.12</v>
      </c>
      <c r="Q17" s="350">
        <v>161</v>
      </c>
      <c r="S17" s="350">
        <v>221</v>
      </c>
      <c r="U17" s="350">
        <v>55.12</v>
      </c>
      <c r="W17" s="350">
        <v>161</v>
      </c>
      <c r="Y17" s="350">
        <v>221</v>
      </c>
      <c r="AA17" s="350">
        <v>55.12</v>
      </c>
      <c r="AC17" s="350">
        <v>161</v>
      </c>
      <c r="AE17" s="350">
        <v>221</v>
      </c>
    </row>
    <row r="18" spans="1:31" x14ac:dyDescent="0.3">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c r="H18" s="9">
        <f>-I16*SIN((I17)/180*PI())</f>
        <v>-4.0016748242617011</v>
      </c>
      <c r="I18" s="9">
        <f>I16*COS((I17)/180*PI())</f>
        <v>2.7895308926179836</v>
      </c>
      <c r="J18" s="9">
        <f>-K16*SIN((K17)/180*PI())</f>
        <v>-22.757213996555247</v>
      </c>
      <c r="K18" s="9">
        <f>K16*COS((K17)/180*PI())</f>
        <v>-66.091748434392258</v>
      </c>
      <c r="L18" s="9">
        <f>-M16*SIN((M17)/180*PI())</f>
        <v>119.66516688786855</v>
      </c>
      <c r="M18" s="9">
        <f>M16*COS((M17)/180*PI())</f>
        <v>-137.65902743263359</v>
      </c>
      <c r="N18" s="9">
        <f>-O16*SIN((O17)/180*PI())</f>
        <v>-4.0016748242617011</v>
      </c>
      <c r="O18" s="9">
        <f>O16*COS((O17)/180*PI())</f>
        <v>2.7895308926179836</v>
      </c>
      <c r="P18" s="9">
        <f>-Q16*SIN((Q17)/180*PI())</f>
        <v>-22.757213996555247</v>
      </c>
      <c r="Q18" s="9">
        <f>Q16*COS((Q17)/180*PI())</f>
        <v>-66.091748434392258</v>
      </c>
      <c r="R18" s="9">
        <f>-S16*SIN((S17)/180*PI())</f>
        <v>119.66516688786855</v>
      </c>
      <c r="S18" s="9">
        <f>S16*COS((S17)/180*PI())</f>
        <v>-137.65902743263359</v>
      </c>
      <c r="T18" s="9">
        <f>-U16*SIN((U17)/180*PI())</f>
        <v>-4.0016748242617011</v>
      </c>
      <c r="U18" s="9">
        <f>U16*COS((U17)/180*PI())</f>
        <v>2.7895308926179836</v>
      </c>
      <c r="V18" s="9">
        <f>-W16*SIN((W17)/180*PI())</f>
        <v>-22.757213996555247</v>
      </c>
      <c r="W18" s="9">
        <f>W16*COS((W17)/180*PI())</f>
        <v>-66.091748434392258</v>
      </c>
      <c r="X18" s="9">
        <f>-Y16*SIN((Y17)/180*PI())</f>
        <v>119.66516688786855</v>
      </c>
      <c r="Y18" s="9">
        <f>Y16*COS((Y17)/180*PI())</f>
        <v>-137.65902743263359</v>
      </c>
      <c r="Z18" s="9">
        <f>-AA16*SIN((AA17)/180*PI())</f>
        <v>-4.0016748242617011</v>
      </c>
      <c r="AA18" s="9">
        <f>AA16*COS((AA17)/180*PI())</f>
        <v>2.7895308926179836</v>
      </c>
      <c r="AB18" s="9">
        <f>-AC16*SIN((AC17)/180*PI())</f>
        <v>-22.757213996555247</v>
      </c>
      <c r="AC18" s="9">
        <f>AC16*COS((AC17)/180*PI())</f>
        <v>-66.091748434392258</v>
      </c>
      <c r="AD18" s="9">
        <f>-AE16*SIN((AE17)/180*PI())</f>
        <v>119.66516688786855</v>
      </c>
      <c r="AE18" s="9">
        <f>AE16*COS((AE17)/180*PI())</f>
        <v>-137.65902743263359</v>
      </c>
    </row>
    <row r="19" spans="1:31" s="347" customFormat="1" ht="69" customHeight="1" x14ac:dyDescent="0.3">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row>
    <row r="20" spans="1:31" s="19" customFormat="1" x14ac:dyDescent="0.3">
      <c r="A20" s="18" t="s">
        <v>38</v>
      </c>
    </row>
    <row r="21" spans="1:31" x14ac:dyDescent="0.3">
      <c r="A21" s="7" t="s">
        <v>65</v>
      </c>
      <c r="C21">
        <f>C16/C8</f>
        <v>0.52703738448558868</v>
      </c>
      <c r="E21">
        <f>E16/E8</f>
        <v>0.50872224198208849</v>
      </c>
      <c r="G21">
        <f>G16/G8</f>
        <v>0.51276929849200847</v>
      </c>
      <c r="I21">
        <f>I16/I8</f>
        <v>0.57487781310466324</v>
      </c>
      <c r="K21">
        <f>K16/K8</f>
        <v>0.5108555665612019</v>
      </c>
      <c r="M21">
        <f>M16/M8</f>
        <v>0.51580964485023051</v>
      </c>
      <c r="O21">
        <f>O16/O8</f>
        <v>0.57175991127548198</v>
      </c>
      <c r="Q21">
        <f>Q16/Q8</f>
        <v>0.508454965968969</v>
      </c>
      <c r="S21">
        <f>S16/S8</f>
        <v>0.51311612722946365</v>
      </c>
      <c r="U21">
        <f>U16/U8</f>
        <v>0.62518586479451854</v>
      </c>
      <c r="W21">
        <f>W16/W8</f>
        <v>0.5069601402781575</v>
      </c>
      <c r="Y21">
        <f>Y16/Y8</f>
        <v>0.50877122339874348</v>
      </c>
      <c r="AA21">
        <f>AA16/AA8</f>
        <v>0.53324130823850047</v>
      </c>
      <c r="AC21">
        <f>AC16/AC8</f>
        <v>0.50731484110186997</v>
      </c>
      <c r="AE21">
        <f>AE16/AE8</f>
        <v>0.51466779035903398</v>
      </c>
    </row>
    <row r="22" spans="1:31" x14ac:dyDescent="0.3">
      <c r="A22" t="s">
        <v>34</v>
      </c>
    </row>
    <row r="23" spans="1:31" x14ac:dyDescent="0.3">
      <c r="A23" t="s">
        <v>35</v>
      </c>
    </row>
    <row r="24" spans="1:31" x14ac:dyDescent="0.3">
      <c r="A24" s="7" t="s">
        <v>64</v>
      </c>
      <c r="C24">
        <f>MOD(C9-C17,360)</f>
        <v>82.555508385716223</v>
      </c>
      <c r="E24">
        <f>MOD(E9-E17,360)</f>
        <v>87.156466851342174</v>
      </c>
      <c r="G24">
        <f>MOD(G9-G17,360)</f>
        <v>84.720894688765668</v>
      </c>
      <c r="I24">
        <f>MOD(I9-I17,360)</f>
        <v>79.88</v>
      </c>
      <c r="K24">
        <f>MOD(K9-K17,360)</f>
        <v>86.212027139812108</v>
      </c>
      <c r="M24">
        <f>MOD(M9-M17,360)</f>
        <v>84.422518993789822</v>
      </c>
      <c r="O24">
        <f>MOD(O9-O17,360)</f>
        <v>84.572262071581633</v>
      </c>
      <c r="Q24">
        <f>MOD(Q9-Q17,360)</f>
        <v>86.786394431648205</v>
      </c>
      <c r="S24">
        <f>MOD(S9-S17,360)</f>
        <v>84.441332636863763</v>
      </c>
      <c r="U24">
        <f>MOD(U9-U17,360)</f>
        <v>86.400243943118653</v>
      </c>
      <c r="W24">
        <f>MOD(W9-W17,360)</f>
        <v>87.100359440547464</v>
      </c>
      <c r="Y24">
        <f>MOD(Y9-Y17,360)</f>
        <v>84.873202653615124</v>
      </c>
      <c r="AA24">
        <f>MOD(AA9-AA17,360)</f>
        <v>81.301802356130196</v>
      </c>
      <c r="AC24">
        <f>MOD(AC9-AC17,360)</f>
        <v>86.417496400660355</v>
      </c>
      <c r="AE24">
        <f>MOD(AE9-AE17,360)</f>
        <v>84.550438615594885</v>
      </c>
    </row>
    <row r="25" spans="1:31" x14ac:dyDescent="0.3">
      <c r="A25" t="s">
        <v>36</v>
      </c>
    </row>
    <row r="26" spans="1:31" x14ac:dyDescent="0.3">
      <c r="A26" t="s">
        <v>35</v>
      </c>
    </row>
    <row r="27" spans="1:31" x14ac:dyDescent="0.3">
      <c r="A27" t="s">
        <v>67</v>
      </c>
      <c r="C27">
        <f>SQRT(C16)</f>
        <v>2.2086194783167152</v>
      </c>
      <c r="E27">
        <f>SQRT(E16)</f>
        <v>8.3606219864313918</v>
      </c>
      <c r="G27">
        <f>SQRT(G16)</f>
        <v>13.505554412907307</v>
      </c>
      <c r="I27">
        <f>SQRT(I16)</f>
        <v>2.2086194783167152</v>
      </c>
      <c r="K27">
        <f>SQRT(K16)</f>
        <v>8.3606219864313918</v>
      </c>
      <c r="M27">
        <f>SQRT(M16)</f>
        <v>13.505554412907307</v>
      </c>
      <c r="O27">
        <f>SQRT(O16)</f>
        <v>2.2086194783167152</v>
      </c>
      <c r="Q27">
        <f>SQRT(Q16)</f>
        <v>8.3606219864313918</v>
      </c>
      <c r="S27">
        <f>SQRT(S16)</f>
        <v>13.505554412907307</v>
      </c>
      <c r="U27">
        <f>SQRT(U16)</f>
        <v>2.2086194783167152</v>
      </c>
      <c r="W27">
        <f>SQRT(W16)</f>
        <v>8.3606219864313918</v>
      </c>
      <c r="Y27">
        <f>SQRT(Y16)</f>
        <v>13.505554412907307</v>
      </c>
      <c r="AA27">
        <f>SQRT(AA16)</f>
        <v>2.2086194783167152</v>
      </c>
      <c r="AC27">
        <f>SQRT(AC16)</f>
        <v>8.3606219864313918</v>
      </c>
      <c r="AE27">
        <f>SQRT(AE16)</f>
        <v>13.505554412907307</v>
      </c>
    </row>
    <row r="28" spans="1:31" x14ac:dyDescent="0.3">
      <c r="A28" t="s">
        <v>68</v>
      </c>
      <c r="C28">
        <f>C27*C21</f>
        <v>1.1640250331759669</v>
      </c>
      <c r="E28">
        <f>E27*E21</f>
        <v>4.2532343613021197</v>
      </c>
      <c r="G28">
        <f>G27*G21</f>
        <v>6.9252336620521291</v>
      </c>
      <c r="I28">
        <f>I27*I21</f>
        <v>1.2696863356750754</v>
      </c>
      <c r="K28">
        <f>K27*K21</f>
        <v>4.2710702816824497</v>
      </c>
      <c r="M28">
        <f>M27*M21</f>
        <v>6.9662952252271815</v>
      </c>
      <c r="O28">
        <f>O27*O21</f>
        <v>1.2628000769636665</v>
      </c>
      <c r="Q28">
        <f>Q27*Q21</f>
        <v>4.250999767590387</v>
      </c>
      <c r="S28">
        <f>S27*S21</f>
        <v>6.9299177764377902</v>
      </c>
      <c r="U28">
        <f>U27*U21</f>
        <v>1.3807976785534539</v>
      </c>
      <c r="W28">
        <f>W27*W21</f>
        <v>4.2385020950539065</v>
      </c>
      <c r="Y28">
        <f>Y27*Y21</f>
        <v>6.8712374413331494</v>
      </c>
      <c r="AA28">
        <f>AA27*AA21</f>
        <v>1.1777271400186395</v>
      </c>
      <c r="AC28">
        <f>AC27*AC21</f>
        <v>4.2414676145592418</v>
      </c>
      <c r="AE28">
        <f>AE27*AE21</f>
        <v>6.9508738472647043</v>
      </c>
    </row>
    <row r="29" spans="1:31" x14ac:dyDescent="0.3">
      <c r="A29" s="288" t="s">
        <v>69</v>
      </c>
      <c r="B29" s="118" t="s">
        <v>357</v>
      </c>
      <c r="C29" s="139">
        <f>SUM(B28:AE28)/SUM(B27:AE27)</f>
        <v>0.5163397326627126</v>
      </c>
      <c r="H29" s="118"/>
      <c r="I29" s="139"/>
      <c r="N29" s="118"/>
      <c r="O29" s="139"/>
      <c r="T29" s="118"/>
      <c r="U29" s="139"/>
      <c r="Z29" s="118"/>
      <c r="AA29" s="139"/>
    </row>
    <row r="30" spans="1:31" x14ac:dyDescent="0.3">
      <c r="A30" t="s">
        <v>72</v>
      </c>
      <c r="C30" s="7">
        <f>C21-$C29</f>
        <v>1.0697651822876075E-2</v>
      </c>
      <c r="E30" s="7">
        <f>E21-$C29</f>
        <v>-7.6174906806241172E-3</v>
      </c>
      <c r="G30" s="7">
        <f>G21-$C29</f>
        <v>-3.5704341707041287E-3</v>
      </c>
      <c r="I30" s="7">
        <f>I21-$C29</f>
        <v>5.8538080441950635E-2</v>
      </c>
      <c r="K30" s="7">
        <f>K21-$C29</f>
        <v>-5.4841661015107013E-3</v>
      </c>
      <c r="M30" s="7">
        <f>M21-$C29</f>
        <v>-5.3008781248209402E-4</v>
      </c>
      <c r="O30" s="7">
        <f>O21-$C29</f>
        <v>5.5420178612769377E-2</v>
      </c>
      <c r="Q30" s="7">
        <f>Q21-$C29</f>
        <v>-7.8847666937436056E-3</v>
      </c>
      <c r="S30" s="7">
        <f>S21-$C29</f>
        <v>-3.223605433248955E-3</v>
      </c>
      <c r="U30" s="7">
        <f>U21-$C29</f>
        <v>0.10884613213180594</v>
      </c>
      <c r="W30" s="7">
        <f>W21-$C29</f>
        <v>-9.3795923845551021E-3</v>
      </c>
      <c r="Y30" s="7">
        <f>Y21-$C29</f>
        <v>-7.5685092639691254E-3</v>
      </c>
      <c r="AA30" s="7">
        <f>AA21-$C29</f>
        <v>1.6901575575787864E-2</v>
      </c>
      <c r="AC30" s="7">
        <f>AC21-$C29</f>
        <v>-9.0248915608426294E-3</v>
      </c>
      <c r="AE30" s="7">
        <f>AE21-$C29</f>
        <v>-1.6719423036786196E-3</v>
      </c>
    </row>
    <row r="31" spans="1:31" x14ac:dyDescent="0.3">
      <c r="A31" t="s">
        <v>70</v>
      </c>
      <c r="C31">
        <f>C27*C24</f>
        <v>182.33370386303179</v>
      </c>
      <c r="E31">
        <f>E27*E24</f>
        <v>728.68227301701017</v>
      </c>
      <c r="G31">
        <f>G27*G24</f>
        <v>1144.2026531293143</v>
      </c>
      <c r="I31">
        <f>I27*I24</f>
        <v>176.42452392793919</v>
      </c>
      <c r="K31">
        <f>K27*K24</f>
        <v>720.78616959993292</v>
      </c>
      <c r="M31">
        <f>M27*M24</f>
        <v>1140.1729239453291</v>
      </c>
      <c r="O31">
        <f>O27*O24</f>
        <v>186.78794533660115</v>
      </c>
      <c r="Q31">
        <f>Q27*Q24</f>
        <v>725.58823740834487</v>
      </c>
      <c r="S31">
        <f>S27*S24</f>
        <v>1140.4270126255692</v>
      </c>
      <c r="U31">
        <f>U27*U24</f>
        <v>190.82526170408767</v>
      </c>
      <c r="W31">
        <f>W27*W24</f>
        <v>728.21318016471821</v>
      </c>
      <c r="Y31">
        <f>Y27*Y24</f>
        <v>1146.2596566361078</v>
      </c>
      <c r="AA31">
        <f>AA27*AA24</f>
        <v>179.56474430600497</v>
      </c>
      <c r="AC31">
        <f>AC27*AC24</f>
        <v>722.50402041971665</v>
      </c>
      <c r="AE31">
        <f>AE27*AE24</f>
        <v>1141.9005493580958</v>
      </c>
    </row>
    <row r="32" spans="1:31" x14ac:dyDescent="0.3">
      <c r="A32" s="288" t="s">
        <v>71</v>
      </c>
      <c r="B32" s="118" t="s">
        <v>357</v>
      </c>
      <c r="C32" s="139">
        <f>MOD(SUM(B31:AE31)/SUM(B27:AE27),360)</f>
        <v>85.19011257710801</v>
      </c>
      <c r="H32" s="118"/>
      <c r="I32" s="139"/>
      <c r="N32" s="118"/>
      <c r="O32" s="139"/>
      <c r="T32" s="118"/>
      <c r="U32" s="139"/>
      <c r="Z32" s="118"/>
      <c r="AA32" s="139"/>
    </row>
    <row r="33" spans="1:31" x14ac:dyDescent="0.3">
      <c r="A33" t="s">
        <v>73</v>
      </c>
      <c r="C33" s="7">
        <f>C24-$C32</f>
        <v>-2.6346041913917873</v>
      </c>
      <c r="E33" s="7">
        <f>E24-$C32</f>
        <v>1.9663542742341633</v>
      </c>
      <c r="G33" s="7">
        <f>G24-$C32</f>
        <v>-0.46921788834234235</v>
      </c>
      <c r="I33" s="7">
        <f>I24-$C32</f>
        <v>-5.3101125771080149</v>
      </c>
      <c r="K33" s="7">
        <f>K24-$C32</f>
        <v>1.0219145627040973</v>
      </c>
      <c r="M33" s="7">
        <f>M24-$C32</f>
        <v>-0.76759358331818817</v>
      </c>
      <c r="O33" s="7">
        <f>O24-$C32</f>
        <v>-0.61785050552637699</v>
      </c>
      <c r="Q33" s="7">
        <f>Q24-$C32</f>
        <v>1.5962818545401944</v>
      </c>
      <c r="S33" s="7">
        <f>S24-$C32</f>
        <v>-0.74877994024424765</v>
      </c>
      <c r="U33" s="7">
        <f>U24-$C32</f>
        <v>1.2101313660106428</v>
      </c>
      <c r="W33" s="7">
        <f>W24-$C32</f>
        <v>1.910246863439454</v>
      </c>
      <c r="Y33" s="7">
        <f>Y24-$C32</f>
        <v>-0.31690992349288649</v>
      </c>
      <c r="AA33" s="7">
        <f>AA24-$C32</f>
        <v>-3.8883102209778144</v>
      </c>
      <c r="AC33" s="7">
        <f>AC24-$C32</f>
        <v>1.2273838235523442</v>
      </c>
      <c r="AE33" s="7">
        <f>AE24-$C32</f>
        <v>-0.63967396151312528</v>
      </c>
    </row>
    <row r="34" spans="1:31" s="347" customFormat="1" ht="75.75" customHeight="1" x14ac:dyDescent="0.3">
      <c r="A34" s="15" t="s">
        <v>40</v>
      </c>
    </row>
    <row r="35" spans="1:31" s="19" customFormat="1" x14ac:dyDescent="0.3">
      <c r="A35" s="20" t="s">
        <v>54</v>
      </c>
      <c r="B35" s="20"/>
      <c r="C35" s="20"/>
      <c r="D35" s="20"/>
      <c r="E35" s="20"/>
      <c r="H35" s="20"/>
      <c r="I35" s="20"/>
      <c r="J35" s="20"/>
      <c r="K35" s="20"/>
      <c r="N35" s="20"/>
      <c r="O35" s="20"/>
      <c r="P35" s="20"/>
      <c r="Q35" s="20"/>
      <c r="T35" s="20"/>
      <c r="U35" s="20"/>
      <c r="V35" s="20"/>
      <c r="W35" s="20"/>
      <c r="Z35" s="20"/>
      <c r="AA35" s="20"/>
      <c r="AB35" s="20"/>
      <c r="AC35" s="20"/>
    </row>
    <row r="36" spans="1:31" x14ac:dyDescent="0.3">
      <c r="A36" s="7" t="s">
        <v>42</v>
      </c>
      <c r="B36" s="118"/>
      <c r="C36" s="147">
        <f>C8*$C29</f>
        <v>4.7789877721616989</v>
      </c>
      <c r="D36" s="118"/>
      <c r="E36" s="147">
        <f>E8*$C29</f>
        <v>70.946666637772793</v>
      </c>
      <c r="F36" s="118"/>
      <c r="G36" s="147">
        <f>G8*$C29</f>
        <v>183.6700588639992</v>
      </c>
      <c r="H36" s="118"/>
      <c r="I36" s="147">
        <f>I8*$C29</f>
        <v>4.381287916342238</v>
      </c>
      <c r="J36" s="118"/>
      <c r="K36" s="147">
        <f>K8*$C29</f>
        <v>70.650394505977602</v>
      </c>
      <c r="L36" s="118"/>
      <c r="M36" s="147">
        <f>M8*$C29</f>
        <v>182.58744902884629</v>
      </c>
      <c r="N36" s="118"/>
      <c r="O36" s="147">
        <f>O8*$C29</f>
        <v>4.405179807569902</v>
      </c>
      <c r="P36" s="118"/>
      <c r="Q36" s="147">
        <f>Q8*$C29</f>
        <v>70.983960682422207</v>
      </c>
      <c r="R36" s="118"/>
      <c r="S36" s="147">
        <f>S8*$C29</f>
        <v>183.5459114220389</v>
      </c>
      <c r="T36" s="118"/>
      <c r="U36" s="147">
        <f>U8*$C29</f>
        <v>4.0287302668887781</v>
      </c>
      <c r="V36" s="118"/>
      <c r="W36" s="147">
        <f>W8*$C29</f>
        <v>71.193264411913475</v>
      </c>
      <c r="X36" s="118"/>
      <c r="Y36" s="147">
        <f>Y8*$C29</f>
        <v>185.11339263358067</v>
      </c>
      <c r="Z36" s="118"/>
      <c r="AA36" s="147">
        <f>AA8*$C29</f>
        <v>4.7233872864218958</v>
      </c>
      <c r="AB36" s="118"/>
      <c r="AC36" s="147">
        <f>AC8*$C29</f>
        <v>71.143488005855971</v>
      </c>
      <c r="AD36" s="118"/>
      <c r="AE36" s="147">
        <f>AE8*$C29</f>
        <v>182.99254198903384</v>
      </c>
    </row>
    <row r="37" spans="1:31" x14ac:dyDescent="0.3">
      <c r="A37" t="s">
        <v>50</v>
      </c>
      <c r="B37" s="118"/>
      <c r="C37" s="141">
        <f>C36-C16</f>
        <v>-9.9012227838301214E-2</v>
      </c>
      <c r="D37" s="118"/>
      <c r="E37" s="141">
        <f>E36-E16</f>
        <v>1.0466666377727876</v>
      </c>
      <c r="F37" s="118"/>
      <c r="G37" s="141">
        <f>G36-G16</f>
        <v>1.2700588639991963</v>
      </c>
      <c r="H37" s="118"/>
      <c r="I37" s="141">
        <f>I36-I16</f>
        <v>-0.49671208365776209</v>
      </c>
      <c r="J37" s="118"/>
      <c r="K37" s="141">
        <f>K36-K16</f>
        <v>0.75039450597759583</v>
      </c>
      <c r="L37" s="118"/>
      <c r="M37" s="141">
        <f>M36-M16</f>
        <v>0.187449028846288</v>
      </c>
      <c r="N37" s="118"/>
      <c r="O37" s="141">
        <f>O36-O16</f>
        <v>-0.4728201924300981</v>
      </c>
      <c r="P37" s="118"/>
      <c r="Q37" s="141">
        <f>Q36-Q16</f>
        <v>1.0839606824222017</v>
      </c>
      <c r="R37" s="118"/>
      <c r="S37" s="141">
        <f>S36-S16</f>
        <v>1.1459114220388926</v>
      </c>
      <c r="T37" s="118"/>
      <c r="U37" s="141">
        <f>U36-U16</f>
        <v>-0.849269733111222</v>
      </c>
      <c r="V37" s="118"/>
      <c r="W37" s="141">
        <f>W36-W16</f>
        <v>1.2932644119134693</v>
      </c>
      <c r="X37" s="118"/>
      <c r="Y37" s="141">
        <f>Y36-Y16</f>
        <v>2.7133926335806677</v>
      </c>
      <c r="Z37" s="118"/>
      <c r="AA37" s="141">
        <f>AA36-AA16</f>
        <v>-0.15461271357810435</v>
      </c>
      <c r="AB37" s="118"/>
      <c r="AC37" s="141">
        <f>AC36-AC16</f>
        <v>1.2434880058559656</v>
      </c>
      <c r="AD37" s="118"/>
      <c r="AE37" s="141">
        <f>AE36-AE16</f>
        <v>0.59254198903383326</v>
      </c>
    </row>
    <row r="38" spans="1:31" x14ac:dyDescent="0.3">
      <c r="A38" t="s">
        <v>51</v>
      </c>
      <c r="B38" s="118"/>
      <c r="C38" s="142">
        <f>C37/C16</f>
        <v>-2.0297709683948589E-2</v>
      </c>
      <c r="D38" s="118"/>
      <c r="E38" s="142">
        <f>E37/E16</f>
        <v>1.4973771641956903E-2</v>
      </c>
      <c r="F38" s="118"/>
      <c r="G38" s="142">
        <f>G37/G16</f>
        <v>6.9630420175394534E-3</v>
      </c>
      <c r="H38" s="118"/>
      <c r="I38" s="142">
        <f>I37/I16</f>
        <v>-0.10182699541979542</v>
      </c>
      <c r="J38" s="118"/>
      <c r="K38" s="142">
        <f>K37/K16</f>
        <v>1.0735257596246005E-2</v>
      </c>
      <c r="L38" s="118"/>
      <c r="M38" s="142">
        <f>M37/M16</f>
        <v>1.0276810792011403E-3</v>
      </c>
      <c r="N38" s="118"/>
      <c r="O38" s="142">
        <f>O37/O16</f>
        <v>-9.6929108739257502E-2</v>
      </c>
      <c r="P38" s="118"/>
      <c r="Q38" s="142">
        <f>Q37/Q16</f>
        <v>1.5507305900174557E-2</v>
      </c>
      <c r="R38" s="118"/>
      <c r="S38" s="142">
        <f>S37/S16</f>
        <v>6.2824091120553321E-3</v>
      </c>
      <c r="T38" s="118"/>
      <c r="U38" s="142">
        <f>U37/U16</f>
        <v>-0.17410203630816359</v>
      </c>
      <c r="V38" s="118"/>
      <c r="W38" s="142">
        <f>W37/W16</f>
        <v>1.8501636794184109E-2</v>
      </c>
      <c r="X38" s="118"/>
      <c r="Y38" s="142">
        <f>Y37/Y16</f>
        <v>1.487605610515717E-2</v>
      </c>
      <c r="Z38" s="118"/>
      <c r="AA38" s="142">
        <f>AA37/AA16</f>
        <v>-3.1695923242743819E-2</v>
      </c>
      <c r="AB38" s="118"/>
      <c r="AC38" s="142">
        <f>AC37/AC16</f>
        <v>1.7789527980772039E-2</v>
      </c>
      <c r="AD38" s="118"/>
      <c r="AE38" s="142">
        <f>AE37/AE16</f>
        <v>3.2485854661942612E-3</v>
      </c>
    </row>
    <row r="39" spans="1:31" x14ac:dyDescent="0.3">
      <c r="A39" t="s">
        <v>53</v>
      </c>
      <c r="B39" s="118">
        <f>AVERAGE(B37:C37)</f>
        <v>-9.9012227838301214E-2</v>
      </c>
      <c r="C39" s="142">
        <f>AVERAGE(C38:C38)</f>
        <v>-2.0297709683948589E-2</v>
      </c>
      <c r="D39" s="118">
        <f>AVERAGE(D37:E37)</f>
        <v>1.0466666377727876</v>
      </c>
      <c r="E39" s="142">
        <f>AVERAGE(E38:E38)</f>
        <v>1.4973771641956903E-2</v>
      </c>
      <c r="F39" s="118">
        <f>AVERAGE(F37:G37)</f>
        <v>1.2700588639991963</v>
      </c>
      <c r="G39" s="142">
        <f>AVERAGE(G38:G38)</f>
        <v>6.9630420175394534E-3</v>
      </c>
      <c r="H39" s="118">
        <f>AVERAGE(H37:I37)</f>
        <v>-0.49671208365776209</v>
      </c>
      <c r="I39" s="142">
        <f>AVERAGE(I38:I38)</f>
        <v>-0.10182699541979542</v>
      </c>
      <c r="J39" s="118">
        <f>AVERAGE(J37:K37)</f>
        <v>0.75039450597759583</v>
      </c>
      <c r="K39" s="142">
        <f>AVERAGE(K38:K38)</f>
        <v>1.0735257596246005E-2</v>
      </c>
      <c r="L39" s="118">
        <f>AVERAGE(L37:M37)</f>
        <v>0.187449028846288</v>
      </c>
      <c r="M39" s="142">
        <f>AVERAGE(M38:M38)</f>
        <v>1.0276810792011403E-3</v>
      </c>
      <c r="N39" s="118">
        <f>AVERAGE(N37:O37)</f>
        <v>-0.4728201924300981</v>
      </c>
      <c r="O39" s="142">
        <f>AVERAGE(O38:O38)</f>
        <v>-9.6929108739257502E-2</v>
      </c>
      <c r="P39" s="118">
        <f>AVERAGE(P37:Q37)</f>
        <v>1.0839606824222017</v>
      </c>
      <c r="Q39" s="142">
        <f>AVERAGE(Q38:Q38)</f>
        <v>1.5507305900174557E-2</v>
      </c>
      <c r="R39" s="118">
        <f>AVERAGE(R37:S37)</f>
        <v>1.1459114220388926</v>
      </c>
      <c r="S39" s="142">
        <f>AVERAGE(S38:S38)</f>
        <v>6.2824091120553321E-3</v>
      </c>
      <c r="T39" s="118">
        <f>AVERAGE(T37:U37)</f>
        <v>-0.849269733111222</v>
      </c>
      <c r="U39" s="142">
        <f>AVERAGE(U38:U38)</f>
        <v>-0.17410203630816359</v>
      </c>
      <c r="V39" s="118">
        <f>AVERAGE(V37:W37)</f>
        <v>1.2932644119134693</v>
      </c>
      <c r="W39" s="142">
        <f>AVERAGE(W38:W38)</f>
        <v>1.8501636794184109E-2</v>
      </c>
      <c r="X39" s="118">
        <f>AVERAGE(X37:Y37)</f>
        <v>2.7133926335806677</v>
      </c>
      <c r="Y39" s="142">
        <f>AVERAGE(Y38:Y38)</f>
        <v>1.487605610515717E-2</v>
      </c>
      <c r="Z39" s="118">
        <f>AVERAGE(Z37:AA37)</f>
        <v>-0.15461271357810435</v>
      </c>
      <c r="AA39" s="142">
        <f>AVERAGE(AA38:AA38)</f>
        <v>-3.1695923242743819E-2</v>
      </c>
      <c r="AB39" s="118">
        <f>AVERAGE(AB37:AC37)</f>
        <v>1.2434880058559656</v>
      </c>
      <c r="AC39" s="142">
        <f>AVERAGE(AC38:AC38)</f>
        <v>1.7789527980772039E-2</v>
      </c>
      <c r="AD39" s="118">
        <f>AVERAGE(AD37:AE37)</f>
        <v>0.59254198903383326</v>
      </c>
      <c r="AE39" s="142">
        <f>AVERAGE(AE38:AE38)</f>
        <v>3.2485854661942612E-3</v>
      </c>
    </row>
    <row r="40" spans="1:31" x14ac:dyDescent="0.3">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row>
    <row r="41" spans="1:31" x14ac:dyDescent="0.3">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
      <c r="A42" s="7" t="s">
        <v>43</v>
      </c>
      <c r="B42" s="118"/>
      <c r="C42" s="141">
        <f>MOD(C9-$C32,360)</f>
        <v>52.485395808608217</v>
      </c>
      <c r="D42" s="118"/>
      <c r="E42" s="141">
        <f>MOD(E9-$C32,360)</f>
        <v>162.96635427423416</v>
      </c>
      <c r="F42" s="118"/>
      <c r="G42" s="141">
        <f>MOD(G9-$C32,360)</f>
        <v>220.53078211165766</v>
      </c>
      <c r="H42" s="118"/>
      <c r="I42" s="141">
        <f>MOD(I9-$C32,360)</f>
        <v>49.80988742289199</v>
      </c>
      <c r="J42" s="118"/>
      <c r="K42" s="141">
        <f>MOD(K9-$C32,360)</f>
        <v>162.0219145627041</v>
      </c>
      <c r="L42" s="118"/>
      <c r="M42" s="141">
        <f>MOD(M9-$C32,360)</f>
        <v>220.23240641668181</v>
      </c>
      <c r="N42" s="118"/>
      <c r="O42" s="141">
        <f>MOD(O9-$C32,360)</f>
        <v>54.502149494473628</v>
      </c>
      <c r="P42" s="118"/>
      <c r="Q42" s="141">
        <f>MOD(Q9-$C32,360)</f>
        <v>162.59628185454019</v>
      </c>
      <c r="R42" s="118"/>
      <c r="S42" s="141">
        <f>MOD(S9-$C32,360)</f>
        <v>220.25122005975575</v>
      </c>
      <c r="T42" s="118"/>
      <c r="U42" s="141">
        <f>MOD(U9-$C32,360)</f>
        <v>56.330131366010647</v>
      </c>
      <c r="V42" s="118"/>
      <c r="W42" s="141">
        <f>MOD(W9-$C32,360)</f>
        <v>162.91024686343945</v>
      </c>
      <c r="X42" s="118"/>
      <c r="Y42" s="141">
        <f>MOD(Y9-$C32,360)</f>
        <v>220.68309007650711</v>
      </c>
      <c r="Z42" s="118"/>
      <c r="AA42" s="141">
        <f>MOD(AA9-$C32,360)</f>
        <v>51.23168977902219</v>
      </c>
      <c r="AB42" s="118"/>
      <c r="AC42" s="141">
        <f>MOD(AC9-$C32,360)</f>
        <v>162.22738382355234</v>
      </c>
      <c r="AD42" s="118"/>
      <c r="AE42" s="141">
        <f>MOD(AE9-$C32,360)</f>
        <v>220.36032603848687</v>
      </c>
    </row>
    <row r="43" spans="1:31" x14ac:dyDescent="0.3">
      <c r="A43" t="s">
        <v>55</v>
      </c>
      <c r="B43" s="118"/>
      <c r="C43" s="141">
        <f>C42-C17</f>
        <v>-2.6346041913917801</v>
      </c>
      <c r="D43" s="118"/>
      <c r="E43" s="141">
        <f>E42-E17</f>
        <v>1.9663542742341633</v>
      </c>
      <c r="F43" s="118"/>
      <c r="G43" s="141">
        <f>G42-G17</f>
        <v>-0.46921788834234235</v>
      </c>
      <c r="H43" s="118"/>
      <c r="I43" s="141">
        <f>I42-I17</f>
        <v>-5.3101125771080078</v>
      </c>
      <c r="J43" s="118"/>
      <c r="K43" s="141">
        <f>K42-K17</f>
        <v>1.0219145627040973</v>
      </c>
      <c r="L43" s="118"/>
      <c r="M43" s="141">
        <f>M42-M17</f>
        <v>-0.76759358331818817</v>
      </c>
      <c r="N43" s="118"/>
      <c r="O43" s="141">
        <f>O42-O17</f>
        <v>-0.61785050552636989</v>
      </c>
      <c r="P43" s="118"/>
      <c r="Q43" s="141">
        <f>Q42-Q17</f>
        <v>1.5962818545401944</v>
      </c>
      <c r="R43" s="118"/>
      <c r="S43" s="141">
        <f>S42-S17</f>
        <v>-0.74877994024424765</v>
      </c>
      <c r="T43" s="118"/>
      <c r="U43" s="141">
        <f>U42-U17</f>
        <v>1.2101313660106499</v>
      </c>
      <c r="V43" s="118"/>
      <c r="W43" s="141">
        <f>W42-W17</f>
        <v>1.910246863439454</v>
      </c>
      <c r="X43" s="118"/>
      <c r="Y43" s="141">
        <f>Y42-Y17</f>
        <v>-0.31690992349288649</v>
      </c>
      <c r="Z43" s="118"/>
      <c r="AA43" s="141">
        <f>AA42-AA17</f>
        <v>-3.8883102209778073</v>
      </c>
      <c r="AB43" s="118"/>
      <c r="AC43" s="141">
        <f>AC42-AC17</f>
        <v>1.2273838235523442</v>
      </c>
      <c r="AD43" s="118"/>
      <c r="AE43" s="141">
        <f>AE42-AE17</f>
        <v>-0.63967396151312528</v>
      </c>
    </row>
    <row r="44" spans="1:31" x14ac:dyDescent="0.3">
      <c r="A44" t="s">
        <v>56</v>
      </c>
      <c r="B44" s="118">
        <f>AVERAGE(B43:C43)</f>
        <v>-2.6346041913917801</v>
      </c>
      <c r="C44" s="141"/>
      <c r="D44" s="118">
        <f>AVERAGE(D43:E43)</f>
        <v>1.9663542742341633</v>
      </c>
      <c r="E44" s="141"/>
      <c r="F44" s="118">
        <f>AVERAGE(F43:G43)</f>
        <v>-0.46921788834234235</v>
      </c>
      <c r="G44" s="141"/>
      <c r="H44" s="118">
        <f>AVERAGE(H43:I43)</f>
        <v>-5.3101125771080078</v>
      </c>
      <c r="I44" s="141"/>
      <c r="J44" s="118">
        <f>AVERAGE(J43:K43)</f>
        <v>1.0219145627040973</v>
      </c>
      <c r="K44" s="141"/>
      <c r="L44" s="118">
        <f>AVERAGE(L43:M43)</f>
        <v>-0.76759358331818817</v>
      </c>
      <c r="M44" s="141"/>
      <c r="N44" s="118">
        <f>AVERAGE(N43:O43)</f>
        <v>-0.61785050552636989</v>
      </c>
      <c r="O44" s="141"/>
      <c r="P44" s="118">
        <f>AVERAGE(P43:Q43)</f>
        <v>1.5962818545401944</v>
      </c>
      <c r="Q44" s="141"/>
      <c r="R44" s="118">
        <f>AVERAGE(R43:S43)</f>
        <v>-0.74877994024424765</v>
      </c>
      <c r="S44" s="141"/>
      <c r="T44" s="118">
        <f>AVERAGE(T43:U43)</f>
        <v>1.2101313660106499</v>
      </c>
      <c r="U44" s="141"/>
      <c r="V44" s="118">
        <f>AVERAGE(V43:W43)</f>
        <v>1.910246863439454</v>
      </c>
      <c r="W44" s="141"/>
      <c r="X44" s="118">
        <f>AVERAGE(X43:Y43)</f>
        <v>-0.31690992349288649</v>
      </c>
      <c r="Y44" s="141"/>
      <c r="Z44" s="118">
        <f>AVERAGE(Z43:AA43)</f>
        <v>-3.8883102209778073</v>
      </c>
      <c r="AA44" s="141"/>
      <c r="AB44" s="118">
        <f>AVERAGE(AB43:AC43)</f>
        <v>1.2273838235523442</v>
      </c>
      <c r="AC44" s="141"/>
      <c r="AD44" s="118">
        <f>AVERAGE(AD43:AE43)</f>
        <v>-0.63967396151312528</v>
      </c>
      <c r="AE44" s="141"/>
    </row>
    <row r="45" spans="1:31" x14ac:dyDescent="0.3">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row>
    <row r="46" spans="1:31" x14ac:dyDescent="0.3">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
      <c r="A47" t="s">
        <v>44</v>
      </c>
      <c r="B47" s="72">
        <f>-C36*SIN((C42)/180*PI())</f>
        <v>-3.7906842433833527</v>
      </c>
      <c r="C47" s="72">
        <f>C36*COS((C42)/180*PI())</f>
        <v>2.9102297320720605</v>
      </c>
      <c r="D47" s="72">
        <f>-E36*SIN((E42)/180*PI())</f>
        <v>-20.782635781235001</v>
      </c>
      <c r="E47" s="72">
        <f>E36*COS((E42)/180*PI())</f>
        <v>-67.834442261993971</v>
      </c>
      <c r="F47" s="72">
        <f>-G36*SIN((G42)/180*PI())</f>
        <v>119.35917831665715</v>
      </c>
      <c r="G47" s="72">
        <f>G36*COS((G42)/180*PI())</f>
        <v>-139.59970298921618</v>
      </c>
      <c r="H47" s="72">
        <f>-I36*SIN((I42)/180*PI())</f>
        <v>-3.3468982724687386</v>
      </c>
      <c r="I47" s="72">
        <f>I36*COS((I42)/180*PI())</f>
        <v>2.8273584420147868</v>
      </c>
      <c r="J47" s="72">
        <f>-K36*SIN((K42)/180*PI())</f>
        <v>-21.806471085462363</v>
      </c>
      <c r="K47" s="72">
        <f>K36*COS((K42)/180*PI())</f>
        <v>-67.20086355582913</v>
      </c>
      <c r="L47" s="72">
        <f>-M36*SIN((M42)/180*PI())</f>
        <v>117.93133194917067</v>
      </c>
      <c r="M47" s="72">
        <f>M36*COS((M42)/180*PI())</f>
        <v>-139.39288894185407</v>
      </c>
      <c r="N47" s="72">
        <f>-O36*SIN((O42)/180*PI())</f>
        <v>-3.5864212090588086</v>
      </c>
      <c r="O47" s="72">
        <f>O36*COS((O42)/180*PI())</f>
        <v>2.5579663891917641</v>
      </c>
      <c r="P47" s="72">
        <f>-Q36*SIN((Q42)/180*PI())</f>
        <v>-21.231495431419383</v>
      </c>
      <c r="Q47" s="72">
        <f>Q36*COS((Q42)/180*PI())</f>
        <v>-67.734380309480059</v>
      </c>
      <c r="R47" s="72">
        <f>-S36*SIN((S42)/180*PI())</f>
        <v>118.59639775480943</v>
      </c>
      <c r="S47" s="72">
        <f>S36*COS((S42)/180*PI())</f>
        <v>-140.08567392610132</v>
      </c>
      <c r="T47" s="72">
        <f>-U36*SIN((U42)/180*PI())</f>
        <v>-3.3528938240765829</v>
      </c>
      <c r="U47" s="72">
        <f>U36*COS((U42)/180*PI())</f>
        <v>2.2335555887004102</v>
      </c>
      <c r="V47" s="72">
        <f>-W36*SIN((W42)/180*PI())</f>
        <v>-20.921520833828289</v>
      </c>
      <c r="W47" s="72">
        <f>W36*COS((W42)/180*PI())</f>
        <v>-68.049767550112279</v>
      </c>
      <c r="X47" s="72">
        <f>-Y36*SIN((Y42)/180*PI())</f>
        <v>120.6707232823298</v>
      </c>
      <c r="Y47" s="72">
        <f>Y36*COS((Y42)/180*PI())</f>
        <v>-140.37643917279561</v>
      </c>
      <c r="Z47" s="72">
        <f>-AA36*SIN((AA42)/180*PI())</f>
        <v>-3.6827514514770563</v>
      </c>
      <c r="AA47" s="72">
        <f>AA36*COS((AA42)/180*PI())</f>
        <v>2.9576560320929199</v>
      </c>
      <c r="AB47" s="72">
        <f>-AC36*SIN((AC42)/180*PI())</f>
        <v>-21.715853315807191</v>
      </c>
      <c r="AC47" s="72">
        <f>AC36*COS((AC42)/180*PI())</f>
        <v>-67.748192598811954</v>
      </c>
      <c r="AD47" s="72">
        <f>-AE36*SIN((AE42)/180*PI())</f>
        <v>118.50458405739546</v>
      </c>
      <c r="AE47" s="72">
        <f>AE36*COS((AE42)/180*PI())</f>
        <v>-139.43792160309908</v>
      </c>
    </row>
    <row r="48" spans="1:31" s="10" customFormat="1" x14ac:dyDescent="0.3">
      <c r="A48" t="s">
        <v>45</v>
      </c>
      <c r="B48" s="72">
        <f t="shared" ref="B48:G48" si="10">B47-B18</f>
        <v>0.21099058087834832</v>
      </c>
      <c r="C48" s="72">
        <f t="shared" si="10"/>
        <v>0.12069883945407689</v>
      </c>
      <c r="D48" s="72">
        <f t="shared" si="10"/>
        <v>1.9745782153202462</v>
      </c>
      <c r="E48" s="72">
        <f t="shared" si="10"/>
        <v>-1.7426938276017125</v>
      </c>
      <c r="F48" s="72">
        <f t="shared" si="10"/>
        <v>-0.30598857121140099</v>
      </c>
      <c r="G48" s="72">
        <f t="shared" si="10"/>
        <v>-1.9406755565825904</v>
      </c>
      <c r="H48" s="72">
        <f t="shared" ref="H48" si="11">H47-H18</f>
        <v>0.65477655179296246</v>
      </c>
      <c r="I48" s="72">
        <f t="shared" ref="I48" si="12">I47-I18</f>
        <v>3.7827549396803217E-2</v>
      </c>
      <c r="J48" s="72">
        <f t="shared" ref="J48" si="13">J47-J18</f>
        <v>0.95074291109288467</v>
      </c>
      <c r="K48" s="72">
        <f t="shared" ref="K48" si="14">K47-K18</f>
        <v>-1.1091151214368722</v>
      </c>
      <c r="L48" s="72">
        <f t="shared" ref="L48" si="15">L47-L18</f>
        <v>-1.733834938697882</v>
      </c>
      <c r="M48" s="72">
        <f t="shared" ref="M48" si="16">M47-M18</f>
        <v>-1.7338615092204748</v>
      </c>
      <c r="N48" s="72">
        <f t="shared" ref="N48" si="17">N47-N18</f>
        <v>0.4152536152028925</v>
      </c>
      <c r="O48" s="72">
        <f t="shared" ref="O48" si="18">O47-O18</f>
        <v>-0.23156450342621948</v>
      </c>
      <c r="P48" s="72">
        <f t="shared" ref="P48" si="19">P47-P18</f>
        <v>1.5257185651358647</v>
      </c>
      <c r="Q48" s="72">
        <f t="shared" ref="Q48" si="20">Q47-Q18</f>
        <v>-1.6426318750878011</v>
      </c>
      <c r="R48" s="72">
        <f t="shared" ref="R48" si="21">R47-R18</f>
        <v>-1.0687691330591207</v>
      </c>
      <c r="S48" s="72">
        <f t="shared" ref="S48" si="22">S47-S18</f>
        <v>-2.4266464934677288</v>
      </c>
      <c r="T48" s="72">
        <f t="shared" ref="T48" si="23">T47-T18</f>
        <v>0.6487810001851182</v>
      </c>
      <c r="U48" s="72">
        <f t="shared" ref="U48" si="24">U47-U18</f>
        <v>-0.55597530391757344</v>
      </c>
      <c r="V48" s="72">
        <f t="shared" ref="V48" si="25">V47-V18</f>
        <v>1.8356931627269581</v>
      </c>
      <c r="W48" s="72">
        <f t="shared" ref="W48" si="26">W47-W18</f>
        <v>-1.9580191157200204</v>
      </c>
      <c r="X48" s="72">
        <f t="shared" ref="X48" si="27">X47-X18</f>
        <v>1.0055563944612516</v>
      </c>
      <c r="Y48" s="72">
        <f t="shared" ref="Y48" si="28">Y47-Y18</f>
        <v>-2.7174117401620208</v>
      </c>
      <c r="Z48" s="72">
        <f t="shared" ref="Z48" si="29">Z47-Z18</f>
        <v>0.31892337278464478</v>
      </c>
      <c r="AA48" s="72">
        <f t="shared" ref="AA48" si="30">AA47-AA18</f>
        <v>0.16812513947493635</v>
      </c>
      <c r="AB48" s="72">
        <f t="shared" ref="AB48" si="31">AB47-AB18</f>
        <v>1.0413606807480562</v>
      </c>
      <c r="AC48" s="72">
        <f t="shared" ref="AC48" si="32">AC47-AC18</f>
        <v>-1.6564441644196961</v>
      </c>
      <c r="AD48" s="72">
        <f t="shared" ref="AD48" si="33">AD47-AD18</f>
        <v>-1.1605828304730892</v>
      </c>
      <c r="AE48" s="72">
        <f t="shared" ref="AE48" si="34">AE47-AE18</f>
        <v>-1.7788941704654917</v>
      </c>
    </row>
    <row r="49" spans="1:40" x14ac:dyDescent="0.3">
      <c r="A49" t="s">
        <v>46</v>
      </c>
      <c r="B49" s="118">
        <f t="shared" ref="B49:G49" si="35">B48^2</f>
        <v>4.4517025219382847E-2</v>
      </c>
      <c r="C49" s="118">
        <f t="shared" si="35"/>
        <v>1.4568209845561028E-2</v>
      </c>
      <c r="D49" s="118">
        <f t="shared" si="35"/>
        <v>3.8989591284172889</v>
      </c>
      <c r="E49" s="118">
        <f t="shared" si="35"/>
        <v>3.0369817767611074</v>
      </c>
      <c r="F49" s="118">
        <f t="shared" si="35"/>
        <v>9.3629005711994617E-2</v>
      </c>
      <c r="G49" s="118">
        <f t="shared" si="35"/>
        <v>3.7662216159171469</v>
      </c>
      <c r="H49" s="118">
        <f t="shared" ref="H49" si="36">H48^2</f>
        <v>0.42873233277788203</v>
      </c>
      <c r="I49" s="118">
        <f t="shared" ref="I49" si="37">I48^2</f>
        <v>1.4309234933675874E-3</v>
      </c>
      <c r="J49" s="118">
        <f t="shared" ref="J49" si="38">J48^2</f>
        <v>0.90391208299337278</v>
      </c>
      <c r="K49" s="118">
        <f t="shared" ref="K49" si="39">K48^2</f>
        <v>1.2301363525999278</v>
      </c>
      <c r="L49" s="118">
        <f t="shared" ref="L49" si="40">L48^2</f>
        <v>3.0061835946494879</v>
      </c>
      <c r="M49" s="118">
        <f t="shared" ref="M49" si="41">M48^2</f>
        <v>3.0062757331563024</v>
      </c>
      <c r="N49" s="118">
        <f t="shared" ref="N49" si="42">N48^2</f>
        <v>0.17243556493907192</v>
      </c>
      <c r="O49" s="118">
        <f t="shared" ref="O49" si="43">O48^2</f>
        <v>5.3622119247031613E-2</v>
      </c>
      <c r="P49" s="118">
        <f t="shared" ref="P49" si="44">P48^2</f>
        <v>2.3278171400002416</v>
      </c>
      <c r="Q49" s="118">
        <f t="shared" ref="Q49" si="45">Q48^2</f>
        <v>2.6982394770544653</v>
      </c>
      <c r="R49" s="118">
        <f t="shared" ref="R49" si="46">R48^2</f>
        <v>1.1422674597799445</v>
      </c>
      <c r="S49" s="118">
        <f t="shared" ref="S49" si="47">S48^2</f>
        <v>5.8886132042592241</v>
      </c>
      <c r="T49" s="118">
        <f t="shared" ref="T49" si="48">T48^2</f>
        <v>0.42091678620120232</v>
      </c>
      <c r="U49" s="118">
        <f t="shared" ref="U49" si="49">U48^2</f>
        <v>0.30910853856623816</v>
      </c>
      <c r="V49" s="118">
        <f t="shared" ref="V49" si="50">V48^2</f>
        <v>3.3697693876825023</v>
      </c>
      <c r="W49" s="118">
        <f t="shared" ref="W49" si="51">W48^2</f>
        <v>3.8338388575250106</v>
      </c>
      <c r="X49" s="118">
        <f t="shared" ref="X49" si="52">X48^2</f>
        <v>1.0111436624419121</v>
      </c>
      <c r="Y49" s="118">
        <f t="shared" ref="Y49" si="53">Y48^2</f>
        <v>7.3843265655703823</v>
      </c>
      <c r="Z49" s="118">
        <f t="shared" ref="Z49" si="54">Z48^2</f>
        <v>0.10171211770833349</v>
      </c>
      <c r="AA49" s="118">
        <f t="shared" ref="AA49" si="55">AA48^2</f>
        <v>2.8266062523466799E-2</v>
      </c>
      <c r="AB49" s="118">
        <f t="shared" ref="AB49" si="56">AB48^2</f>
        <v>1.084432067408055</v>
      </c>
      <c r="AC49" s="118">
        <f t="shared" ref="AC49" si="57">AC48^2</f>
        <v>2.7438072698400653</v>
      </c>
      <c r="AD49" s="118">
        <f t="shared" ref="AD49" si="58">AD48^2</f>
        <v>1.3469525063889274</v>
      </c>
      <c r="AE49" s="118">
        <f t="shared" ref="AE49" si="59">AE48^2</f>
        <v>3.1644644697161097</v>
      </c>
    </row>
    <row r="50" spans="1:40" s="10" customFormat="1" x14ac:dyDescent="0.3">
      <c r="A50" t="s">
        <v>47</v>
      </c>
      <c r="B50" s="72"/>
      <c r="C50" s="72">
        <f>SQRT(B49+C49)</f>
        <v>0.24307454631232756</v>
      </c>
      <c r="D50" s="72"/>
      <c r="E50" s="72">
        <f>SQRT(D49+E49)</f>
        <v>2.6336174561196994</v>
      </c>
      <c r="F50" s="72"/>
      <c r="G50" s="72">
        <f>SQRT(F49+G49)</f>
        <v>1.9646502542766082</v>
      </c>
      <c r="H50" s="72"/>
      <c r="I50" s="72">
        <f>SQRT(H49+I49)</f>
        <v>0.65586832235689629</v>
      </c>
      <c r="J50" s="72"/>
      <c r="K50" s="72">
        <f>SQRT(J49+K49)</f>
        <v>1.4608382646936999</v>
      </c>
      <c r="L50" s="72"/>
      <c r="M50" s="72">
        <f>SQRT(L49+M49)</f>
        <v>2.4520316734915539</v>
      </c>
      <c r="N50" s="72"/>
      <c r="O50" s="72">
        <f>SQRT(N49+O49)</f>
        <v>0.4754552388880614</v>
      </c>
      <c r="P50" s="72"/>
      <c r="Q50" s="72">
        <f>SQRT(P49+Q49)</f>
        <v>2.2418868430531247</v>
      </c>
      <c r="R50" s="72"/>
      <c r="S50" s="72">
        <f>SQRT(R49+S49)</f>
        <v>2.6515807858783349</v>
      </c>
      <c r="T50" s="72"/>
      <c r="U50" s="72">
        <f>SQRT(T49+U49)</f>
        <v>0.85441519460239024</v>
      </c>
      <c r="V50" s="72"/>
      <c r="W50" s="72">
        <f>SQRT(V49+W49)</f>
        <v>2.6839538455807159</v>
      </c>
      <c r="X50" s="72"/>
      <c r="Y50" s="72">
        <f>SQRT(X49+Y49)</f>
        <v>2.8974937839471364</v>
      </c>
      <c r="Z50" s="72"/>
      <c r="AA50" s="72">
        <f>SQRT(Z49+AA49)</f>
        <v>0.36052486770235465</v>
      </c>
      <c r="AB50" s="72"/>
      <c r="AC50" s="72">
        <f>SQRT(AB49+AC49)</f>
        <v>1.9565886990494759</v>
      </c>
      <c r="AD50" s="72"/>
      <c r="AE50" s="72">
        <f>SQRT(AD49+AE49)</f>
        <v>2.1240096459538589</v>
      </c>
    </row>
    <row r="51" spans="1:40" s="10" customFormat="1" x14ac:dyDescent="0.3">
      <c r="A51" t="s">
        <v>48</v>
      </c>
      <c r="B51" s="72"/>
      <c r="C51" s="77">
        <f>C50/C36</f>
        <v>5.0863186494904268E-2</v>
      </c>
      <c r="D51" s="72"/>
      <c r="E51" s="77">
        <f>E50/E36</f>
        <v>3.7121088007784318E-2</v>
      </c>
      <c r="F51" s="72"/>
      <c r="G51" s="77">
        <f>G50/G36</f>
        <v>1.0696627781512055E-2</v>
      </c>
      <c r="H51" s="72"/>
      <c r="I51" s="77">
        <f>I50/I36</f>
        <v>0.14969760830154585</v>
      </c>
      <c r="J51" s="72"/>
      <c r="K51" s="77">
        <f>K50/K36</f>
        <v>2.0677000813776079E-2</v>
      </c>
      <c r="L51" s="72"/>
      <c r="M51" s="77">
        <f>M50/M36</f>
        <v>1.3429355010618319E-2</v>
      </c>
      <c r="N51" s="72"/>
      <c r="O51" s="77">
        <f>O50/O36</f>
        <v>0.10793094939530838</v>
      </c>
      <c r="P51" s="72"/>
      <c r="Q51" s="77">
        <f>Q50/Q36</f>
        <v>3.1583005815682588E-2</v>
      </c>
      <c r="R51" s="72"/>
      <c r="S51" s="77">
        <f>S50/S36</f>
        <v>1.4446417059007025E-2</v>
      </c>
      <c r="T51" s="72"/>
      <c r="U51" s="77">
        <f>U50/U36</f>
        <v>0.21208051619256699</v>
      </c>
      <c r="V51" s="72"/>
      <c r="W51" s="77">
        <f>W50/W36</f>
        <v>3.7699547390491389E-2</v>
      </c>
      <c r="X51" s="72"/>
      <c r="Y51" s="77">
        <f>Y50/Y36</f>
        <v>1.5652534604465532E-2</v>
      </c>
      <c r="Z51" s="72"/>
      <c r="AA51" s="77">
        <f>AA50/AA36</f>
        <v>7.6327611063936873E-2</v>
      </c>
      <c r="AB51" s="72"/>
      <c r="AC51" s="77">
        <f>AC50/AC36</f>
        <v>2.7502006914370363E-2</v>
      </c>
      <c r="AD51" s="72"/>
      <c r="AE51" s="77">
        <f>AE50/AE36</f>
        <v>1.1607083124082424E-2</v>
      </c>
    </row>
    <row r="52" spans="1:40" s="10" customFormat="1" x14ac:dyDescent="0.3">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40" s="10" customFormat="1" x14ac:dyDescent="0.3">
      <c r="A53" t="s">
        <v>89</v>
      </c>
      <c r="B53" s="72">
        <f>MEDIAN(B50:C50)</f>
        <v>0.24307454631232756</v>
      </c>
      <c r="C53" s="144"/>
      <c r="D53" s="72">
        <f>MEDIAN(D50:E50)</f>
        <v>2.6336174561196994</v>
      </c>
      <c r="E53" s="144"/>
      <c r="F53" s="72">
        <f>MEDIAN(F50:G50)</f>
        <v>1.9646502542766082</v>
      </c>
      <c r="G53" s="144"/>
      <c r="H53" s="72">
        <f>MEDIAN(H50:I50)</f>
        <v>0.65586832235689629</v>
      </c>
      <c r="I53" s="144"/>
      <c r="J53" s="72">
        <f>MEDIAN(J50:K50)</f>
        <v>1.4608382646936999</v>
      </c>
      <c r="K53" s="144"/>
      <c r="L53" s="72">
        <f>MEDIAN(L50:M50)</f>
        <v>2.4520316734915539</v>
      </c>
      <c r="M53" s="144"/>
      <c r="N53" s="72">
        <f>MEDIAN(N50:O50)</f>
        <v>0.4754552388880614</v>
      </c>
      <c r="O53" s="144"/>
      <c r="P53" s="72">
        <f>MEDIAN(P50:Q50)</f>
        <v>2.2418868430531247</v>
      </c>
      <c r="Q53" s="144"/>
      <c r="R53" s="72">
        <f>MEDIAN(R50:S50)</f>
        <v>2.6515807858783349</v>
      </c>
      <c r="S53" s="144"/>
      <c r="T53" s="72">
        <f>MEDIAN(T50:U50)</f>
        <v>0.85441519460239024</v>
      </c>
      <c r="U53" s="144"/>
      <c r="V53" s="72">
        <f>MEDIAN(V50:W50)</f>
        <v>2.6839538455807159</v>
      </c>
      <c r="W53" s="144"/>
      <c r="X53" s="72">
        <f>MEDIAN(X50:Y50)</f>
        <v>2.8974937839471364</v>
      </c>
      <c r="Y53" s="144"/>
      <c r="Z53" s="72">
        <f>MEDIAN(Z50:AA50)</f>
        <v>0.36052486770235465</v>
      </c>
      <c r="AA53" s="144"/>
      <c r="AB53" s="72">
        <f>MEDIAN(AB50:AC50)</f>
        <v>1.9565886990494759</v>
      </c>
      <c r="AC53" s="144"/>
      <c r="AD53" s="72">
        <f>MEDIAN(AD50:AE50)</f>
        <v>2.1240096459538589</v>
      </c>
      <c r="AE53" s="144"/>
    </row>
    <row r="54" spans="1:40" s="10" customFormat="1" x14ac:dyDescent="0.3">
      <c r="A54" t="s">
        <v>81</v>
      </c>
      <c r="B54" s="72">
        <f>AVERAGE(B50:C50)</f>
        <v>0.24307454631232756</v>
      </c>
      <c r="C54" s="144"/>
      <c r="D54" s="72">
        <f>AVERAGE(D50:E50)</f>
        <v>2.6336174561196994</v>
      </c>
      <c r="E54" s="144"/>
      <c r="F54" s="72">
        <f>AVERAGE(F50:G50)</f>
        <v>1.9646502542766082</v>
      </c>
      <c r="G54" s="144"/>
      <c r="H54" s="72">
        <f>AVERAGE(H50:I50)</f>
        <v>0.65586832235689629</v>
      </c>
      <c r="I54" s="144"/>
      <c r="J54" s="72">
        <f>AVERAGE(J50:K50)</f>
        <v>1.4608382646936999</v>
      </c>
      <c r="K54" s="144"/>
      <c r="L54" s="72">
        <f>AVERAGE(L50:M50)</f>
        <v>2.4520316734915539</v>
      </c>
      <c r="M54" s="144"/>
      <c r="N54" s="72">
        <f>AVERAGE(N50:O50)</f>
        <v>0.4754552388880614</v>
      </c>
      <c r="O54" s="144"/>
      <c r="P54" s="72">
        <f>AVERAGE(P50:Q50)</f>
        <v>2.2418868430531247</v>
      </c>
      <c r="Q54" s="144"/>
      <c r="R54" s="72">
        <f>AVERAGE(R50:S50)</f>
        <v>2.6515807858783349</v>
      </c>
      <c r="S54" s="144"/>
      <c r="T54" s="72">
        <f>AVERAGE(T50:U50)</f>
        <v>0.85441519460239024</v>
      </c>
      <c r="U54" s="144"/>
      <c r="V54" s="72">
        <f>AVERAGE(V50:W50)</f>
        <v>2.6839538455807159</v>
      </c>
      <c r="W54" s="144"/>
      <c r="X54" s="72">
        <f>AVERAGE(X50:Y50)</f>
        <v>2.8974937839471364</v>
      </c>
      <c r="Y54" s="144"/>
      <c r="Z54" s="72">
        <f>AVERAGE(Z50:AA50)</f>
        <v>0.36052486770235465</v>
      </c>
      <c r="AA54" s="144"/>
      <c r="AB54" s="72">
        <f>AVERAGE(AB50:AC50)</f>
        <v>1.9565886990494759</v>
      </c>
      <c r="AC54" s="144"/>
      <c r="AD54" s="72">
        <f>AVERAGE(AD50:AE50)</f>
        <v>2.1240096459538589</v>
      </c>
      <c r="AE54" s="144"/>
    </row>
    <row r="55" spans="1:40" s="10" customFormat="1" x14ac:dyDescent="0.3">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row>
    <row r="56" spans="1:40" s="10" customFormat="1" x14ac:dyDescent="0.3">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40" s="10" customFormat="1" x14ac:dyDescent="0.3">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40" s="10" customFormat="1" x14ac:dyDescent="0.3">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row>
    <row r="59" spans="1:40" s="118" customFormat="1" x14ac:dyDescent="0.3">
      <c r="A59" s="359" t="s">
        <v>115</v>
      </c>
      <c r="B59" s="361">
        <f>AVERAGE(C36,I36,O36,U36,AA36)</f>
        <v>4.4635146098769027</v>
      </c>
      <c r="C59" s="362">
        <f>B59-C16</f>
        <v>-0.41448539012309737</v>
      </c>
      <c r="D59" s="361">
        <f t="shared" ref="D59" si="60">AVERAGE(E36,K36,Q36,W36,AC36)</f>
        <v>70.983554848788415</v>
      </c>
      <c r="E59" s="362">
        <f>D59-E16</f>
        <v>1.0835548487884097</v>
      </c>
      <c r="F59" s="361">
        <f t="shared" ref="F59" si="61">AVERAGE(G36,M36,S36,Y36,AE36)</f>
        <v>183.58187078749978</v>
      </c>
      <c r="G59" s="362">
        <f>F59-G16</f>
        <v>1.1818707874997756</v>
      </c>
      <c r="H59" s="365" t="s">
        <v>462</v>
      </c>
      <c r="I59" s="141"/>
      <c r="J59" s="302"/>
      <c r="L59" s="166"/>
      <c r="M59" s="141"/>
      <c r="N59" s="302"/>
      <c r="O59" s="141"/>
      <c r="P59" s="302"/>
      <c r="R59" s="166"/>
      <c r="S59" s="141"/>
      <c r="T59" s="302"/>
      <c r="U59" s="141"/>
      <c r="V59" s="302"/>
      <c r="X59" s="166"/>
      <c r="Y59" s="141"/>
      <c r="Z59" s="302"/>
      <c r="AA59" s="141"/>
      <c r="AB59" s="302"/>
      <c r="AD59" s="166"/>
      <c r="AE59" s="141"/>
      <c r="AF59" s="302"/>
      <c r="AH59" s="166"/>
      <c r="AI59" s="141"/>
      <c r="AJ59" s="302"/>
      <c r="AL59" s="166"/>
      <c r="AM59" s="141"/>
      <c r="AN59" s="302"/>
    </row>
    <row r="60" spans="1:40" s="118" customFormat="1" x14ac:dyDescent="0.3">
      <c r="A60" s="360" t="s">
        <v>116</v>
      </c>
      <c r="B60" s="361">
        <f>STDEV(C36,I36,O36,U36,AA36)</f>
        <v>0.30259656612975783</v>
      </c>
      <c r="C60" s="363">
        <f>B60/SQRT(5)</f>
        <v>0.13532529832482978</v>
      </c>
      <c r="D60" s="361">
        <f t="shared" ref="D60" si="62">STDEV(E36,K36,Q36,W36,AC36)</f>
        <v>0.21325655583732311</v>
      </c>
      <c r="E60" s="363">
        <f>D60/SQRT(5)</f>
        <v>9.5371231099946815E-2</v>
      </c>
      <c r="F60" s="361">
        <f t="shared" ref="F60" si="63">STDEV(G36,M36,S36,Y36,AE36)</f>
        <v>0.96057436523790896</v>
      </c>
      <c r="G60" s="363">
        <f>F60/SQRT(5)</f>
        <v>0.42958191562313508</v>
      </c>
      <c r="H60" s="358" t="s">
        <v>463</v>
      </c>
      <c r="L60" s="166"/>
      <c r="R60" s="166"/>
      <c r="X60" s="166"/>
      <c r="AD60" s="166"/>
      <c r="AH60" s="166"/>
      <c r="AL60" s="166"/>
    </row>
    <row r="61" spans="1:40" s="118" customFormat="1" x14ac:dyDescent="0.3">
      <c r="A61" s="360" t="s">
        <v>117</v>
      </c>
      <c r="B61" s="361">
        <f>AVERAGE(C42,I42,O42,U42,AA42)</f>
        <v>52.871850774201334</v>
      </c>
      <c r="C61" s="364">
        <f>B61-C17</f>
        <v>-2.2481492257986631</v>
      </c>
      <c r="D61" s="361">
        <f t="shared" ref="D61" si="64">AVERAGE(E42,K42,Q42,W42,AC42)</f>
        <v>162.54443627569404</v>
      </c>
      <c r="E61" s="364">
        <f>D61-E17</f>
        <v>1.5444362756940393</v>
      </c>
      <c r="F61" s="361">
        <f t="shared" ref="F61" si="65">AVERAGE(G42,M42,S42,Y42,AE42)</f>
        <v>220.41156494061784</v>
      </c>
      <c r="G61" s="364">
        <f>F61-G17</f>
        <v>-0.58843505938216367</v>
      </c>
      <c r="H61" s="365" t="s">
        <v>462</v>
      </c>
      <c r="L61" s="166"/>
      <c r="N61" s="141"/>
      <c r="R61" s="166"/>
      <c r="T61" s="141"/>
      <c r="X61" s="166"/>
      <c r="Z61" s="141"/>
      <c r="AD61" s="166"/>
      <c r="AH61" s="166"/>
      <c r="AL61" s="166"/>
    </row>
    <row r="62" spans="1:40" s="118" customFormat="1" x14ac:dyDescent="0.3">
      <c r="A62" s="360" t="s">
        <v>118</v>
      </c>
      <c r="B62" s="361">
        <f>STDEV(C42,I42,O42,U42,AA42)</f>
        <v>2.5900132077031297</v>
      </c>
      <c r="C62" s="363">
        <f>B62/SQRT(5)</f>
        <v>1.1582891190092959</v>
      </c>
      <c r="D62" s="361">
        <f t="shared" ref="D62" si="66">STDEV(E42,K42,Q42,W42,AC42)</f>
        <v>0.41475033019867746</v>
      </c>
      <c r="E62" s="363">
        <f>D62/SQRT(5)</f>
        <v>0.18548198640294533</v>
      </c>
      <c r="F62" s="361">
        <f t="shared" ref="F62" si="67">STDEV(G42,M42,S42,Y42,AE42)</f>
        <v>0.19259563591864282</v>
      </c>
      <c r="G62" s="363">
        <f>F62/SQRT(5)</f>
        <v>8.6131386816777095E-2</v>
      </c>
      <c r="H62" s="358" t="s">
        <v>463</v>
      </c>
      <c r="L62" s="166"/>
      <c r="R62" s="166"/>
      <c r="X62" s="166"/>
      <c r="AD62" s="166"/>
      <c r="AH62" s="166"/>
      <c r="AL62" s="166"/>
    </row>
  </sheetData>
  <mergeCells count="15">
    <mergeCell ref="V10:W10"/>
    <mergeCell ref="X10:Y10"/>
    <mergeCell ref="Z10:AA10"/>
    <mergeCell ref="AB10:AC10"/>
    <mergeCell ref="AD10:AE10"/>
    <mergeCell ref="T10:U10"/>
    <mergeCell ref="B10:C10"/>
    <mergeCell ref="D10:E10"/>
    <mergeCell ref="F10:G10"/>
    <mergeCell ref="H10:I10"/>
    <mergeCell ref="J10:K10"/>
    <mergeCell ref="L10:M10"/>
    <mergeCell ref="N10:O10"/>
    <mergeCell ref="P10:Q10"/>
    <mergeCell ref="R10:S10"/>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zoomScale="80" zoomScaleNormal="80" workbookViewId="0">
      <pane xSplit="1" ySplit="2" topLeftCell="B3" activePane="bottomRight" state="frozenSplit"/>
      <selection pane="topRight"/>
      <selection pane="bottomLeft" activeCell="A3" sqref="A3"/>
      <selection pane="bottomRight" activeCell="I18" sqref="I18"/>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s>
  <sheetData>
    <row r="1" spans="1:7" s="19" customFormat="1" x14ac:dyDescent="0.3">
      <c r="A1" s="20" t="s">
        <v>39</v>
      </c>
      <c r="B1" s="20"/>
      <c r="C1" s="20"/>
      <c r="D1" s="20"/>
      <c r="E1" s="20"/>
      <c r="F1" s="20"/>
      <c r="G1" s="20"/>
    </row>
    <row r="2" spans="1:7" s="348" customFormat="1" x14ac:dyDescent="0.3">
      <c r="C2" s="348" t="s">
        <v>443</v>
      </c>
      <c r="E2" s="348" t="s">
        <v>444</v>
      </c>
      <c r="G2" s="348" t="s">
        <v>445</v>
      </c>
    </row>
    <row r="3" spans="1:7" s="348" customFormat="1" x14ac:dyDescent="0.3">
      <c r="B3" s="348" t="s">
        <v>446</v>
      </c>
      <c r="C3" s="348" t="s">
        <v>447</v>
      </c>
    </row>
    <row r="4" spans="1:7" x14ac:dyDescent="0.3">
      <c r="A4" t="s">
        <v>1</v>
      </c>
      <c r="B4" s="350">
        <v>1594</v>
      </c>
      <c r="C4" s="350">
        <v>1265</v>
      </c>
      <c r="D4" s="350">
        <v>1594</v>
      </c>
      <c r="E4" s="350">
        <v>1265</v>
      </c>
      <c r="F4" s="350">
        <v>1594</v>
      </c>
      <c r="G4" s="350">
        <v>1265</v>
      </c>
    </row>
    <row r="5" spans="1:7" x14ac:dyDescent="0.3">
      <c r="A5" t="s">
        <v>2</v>
      </c>
      <c r="B5" s="350">
        <v>1590</v>
      </c>
      <c r="C5" s="350">
        <v>1256</v>
      </c>
      <c r="D5" s="350">
        <v>1488.9829999999999</v>
      </c>
      <c r="E5" s="350">
        <v>1352.4190000000001</v>
      </c>
      <c r="F5" s="350">
        <v>1644.1610000000001</v>
      </c>
      <c r="G5" s="350">
        <v>1615.0250000000001</v>
      </c>
    </row>
    <row r="6" spans="1:7" x14ac:dyDescent="0.3">
      <c r="A6" t="s">
        <v>4</v>
      </c>
      <c r="B6">
        <f t="shared" ref="B6:G6" si="0">B5-B4</f>
        <v>-4</v>
      </c>
      <c r="C6">
        <f t="shared" si="0"/>
        <v>-9</v>
      </c>
      <c r="D6">
        <f t="shared" si="0"/>
        <v>-105.01700000000005</v>
      </c>
      <c r="E6">
        <f t="shared" si="0"/>
        <v>87.419000000000096</v>
      </c>
      <c r="F6">
        <f t="shared" si="0"/>
        <v>50.161000000000058</v>
      </c>
      <c r="G6">
        <f t="shared" si="0"/>
        <v>350.02500000000009</v>
      </c>
    </row>
    <row r="7" spans="1:7" x14ac:dyDescent="0.3">
      <c r="A7" t="s">
        <v>5</v>
      </c>
      <c r="B7">
        <f t="shared" ref="B7:G7" si="1">B6^2</f>
        <v>16</v>
      </c>
      <c r="C7">
        <f t="shared" si="1"/>
        <v>81</v>
      </c>
      <c r="D7">
        <f t="shared" si="1"/>
        <v>11028.57028900001</v>
      </c>
      <c r="E7">
        <f t="shared" si="1"/>
        <v>7642.0815610000172</v>
      </c>
      <c r="F7">
        <f t="shared" si="1"/>
        <v>2516.1259210000057</v>
      </c>
      <c r="G7">
        <f t="shared" si="1"/>
        <v>122517.50062500006</v>
      </c>
    </row>
    <row r="8" spans="1:7" x14ac:dyDescent="0.3">
      <c r="A8" t="s">
        <v>6</v>
      </c>
      <c r="C8">
        <f>SQRT(SUM(B7:C7))</f>
        <v>9.8488578017961039</v>
      </c>
      <c r="E8">
        <f>SQRT(SUM(D7:E7))</f>
        <v>136.64059371211772</v>
      </c>
      <c r="G8">
        <f>SQRT(SUM(F7:G7))</f>
        <v>353.60094251288422</v>
      </c>
    </row>
    <row r="9" spans="1:7" x14ac:dyDescent="0.3">
      <c r="A9" t="s">
        <v>7</v>
      </c>
      <c r="C9">
        <f>MOD(ATAN2(C6,B6)*180/PI()+270,360)</f>
        <v>113.96248897457818</v>
      </c>
      <c r="E9">
        <f>MOD(ATAN2(E6,D6)*180/PI()+270,360)</f>
        <v>219.77491518995282</v>
      </c>
      <c r="G9">
        <f>MOD(ATAN2(G6,F6)*180/PI()+270,360)</f>
        <v>278.15535493818271</v>
      </c>
    </row>
    <row r="10" spans="1:7" s="349" customFormat="1" ht="117" customHeight="1" x14ac:dyDescent="0.3">
      <c r="A10" s="16" t="s">
        <v>40</v>
      </c>
      <c r="B10" s="393" t="s">
        <v>464</v>
      </c>
      <c r="C10" s="393"/>
      <c r="D10" s="393" t="s">
        <v>450</v>
      </c>
      <c r="E10" s="393"/>
      <c r="F10" s="393" t="s">
        <v>449</v>
      </c>
      <c r="G10" s="393"/>
    </row>
    <row r="11" spans="1:7" s="19" customFormat="1" x14ac:dyDescent="0.3">
      <c r="A11" s="20" t="s">
        <v>37</v>
      </c>
      <c r="B11" s="20"/>
      <c r="C11" s="20"/>
      <c r="D11" s="20"/>
      <c r="E11" s="20"/>
    </row>
    <row r="12" spans="1:7" s="1" customFormat="1" x14ac:dyDescent="0.3">
      <c r="B12" s="6"/>
      <c r="D12" s="6"/>
    </row>
    <row r="13" spans="1:7" x14ac:dyDescent="0.3">
      <c r="A13" t="s">
        <v>18</v>
      </c>
      <c r="B13" s="5"/>
      <c r="C13" s="2"/>
      <c r="D13" s="5"/>
      <c r="E13" s="2"/>
      <c r="F13" s="5"/>
      <c r="G13" s="2"/>
    </row>
    <row r="14" spans="1:7" x14ac:dyDescent="0.3">
      <c r="A14" t="s">
        <v>17</v>
      </c>
      <c r="B14" s="5"/>
      <c r="C14" s="2"/>
      <c r="D14" s="5"/>
      <c r="E14" s="2"/>
      <c r="F14" s="5"/>
      <c r="G14" s="2"/>
    </row>
    <row r="15" spans="1:7" x14ac:dyDescent="0.3">
      <c r="A15" t="s">
        <v>14</v>
      </c>
      <c r="B15" s="5"/>
      <c r="C15" s="5"/>
      <c r="D15" s="5"/>
      <c r="E15" s="5"/>
      <c r="F15" s="5"/>
      <c r="G15" s="5"/>
    </row>
    <row r="16" spans="1:7" x14ac:dyDescent="0.3">
      <c r="A16" t="s">
        <v>13</v>
      </c>
      <c r="B16" s="4"/>
      <c r="C16" s="350">
        <v>4.8780000000000001</v>
      </c>
      <c r="D16" s="4"/>
      <c r="E16" s="350">
        <v>69.900000000000006</v>
      </c>
      <c r="F16" s="4"/>
      <c r="G16" s="350">
        <v>182.4</v>
      </c>
    </row>
    <row r="17" spans="1:7" x14ac:dyDescent="0.3">
      <c r="A17" t="s">
        <v>7</v>
      </c>
      <c r="C17" s="350">
        <v>55.12</v>
      </c>
      <c r="E17" s="350">
        <v>161</v>
      </c>
      <c r="G17" s="350">
        <v>221</v>
      </c>
    </row>
    <row r="18" spans="1:7" x14ac:dyDescent="0.3">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row>
    <row r="19" spans="1:7" s="347" customFormat="1" ht="69" customHeight="1" x14ac:dyDescent="0.3">
      <c r="A19" s="15" t="s">
        <v>40</v>
      </c>
      <c r="B19" s="346"/>
      <c r="C19" s="346"/>
      <c r="D19" s="346"/>
      <c r="E19" s="346"/>
      <c r="F19" s="346"/>
      <c r="G19" s="346"/>
    </row>
    <row r="20" spans="1:7" s="19" customFormat="1" x14ac:dyDescent="0.3">
      <c r="A20" s="18" t="s">
        <v>38</v>
      </c>
    </row>
    <row r="21" spans="1:7" x14ac:dyDescent="0.3">
      <c r="A21" s="7" t="s">
        <v>65</v>
      </c>
      <c r="C21">
        <f>C16/C8</f>
        <v>0.49528585935217945</v>
      </c>
      <c r="E21">
        <f>E16/E8</f>
        <v>0.51156100907516078</v>
      </c>
      <c r="G21">
        <f>G16/G8</f>
        <v>0.51583572912380982</v>
      </c>
    </row>
    <row r="22" spans="1:7" x14ac:dyDescent="0.3">
      <c r="A22" t="s">
        <v>34</v>
      </c>
    </row>
    <row r="23" spans="1:7" x14ac:dyDescent="0.3">
      <c r="A23" t="s">
        <v>35</v>
      </c>
    </row>
    <row r="24" spans="1:7" x14ac:dyDescent="0.3">
      <c r="A24" s="7" t="s">
        <v>64</v>
      </c>
      <c r="C24">
        <f>MOD(C9-C17,360)</f>
        <v>58.842488974578181</v>
      </c>
      <c r="E24">
        <f>MOD(E9-E17,360)</f>
        <v>58.774915189952821</v>
      </c>
      <c r="G24">
        <f>MOD(G9-G17,360)</f>
        <v>57.155354938182711</v>
      </c>
    </row>
    <row r="25" spans="1:7" x14ac:dyDescent="0.3">
      <c r="A25" t="s">
        <v>36</v>
      </c>
    </row>
    <row r="26" spans="1:7" x14ac:dyDescent="0.3">
      <c r="A26" t="s">
        <v>35</v>
      </c>
    </row>
    <row r="27" spans="1:7" x14ac:dyDescent="0.3">
      <c r="A27" t="s">
        <v>67</v>
      </c>
      <c r="C27">
        <f>SQRT(C16)</f>
        <v>2.2086194783167152</v>
      </c>
      <c r="E27">
        <f>SQRT(E16)</f>
        <v>8.3606219864313918</v>
      </c>
      <c r="G27">
        <f>SQRT(G16)</f>
        <v>13.505554412907307</v>
      </c>
    </row>
    <row r="28" spans="1:7" x14ac:dyDescent="0.3">
      <c r="A28" t="s">
        <v>68</v>
      </c>
      <c r="C28">
        <f>C27*C21</f>
        <v>1.0938979963000566</v>
      </c>
      <c r="E28">
        <f>E27*E21</f>
        <v>4.276968219874818</v>
      </c>
      <c r="G28">
        <f>G27*G21</f>
        <v>6.9666475078033274</v>
      </c>
    </row>
    <row r="29" spans="1:7" x14ac:dyDescent="0.3">
      <c r="A29" s="288" t="s">
        <v>69</v>
      </c>
      <c r="B29" s="118" t="s">
        <v>357</v>
      </c>
      <c r="C29" s="139">
        <f>SUM(B28:G28)/SUM(B27:G27)</f>
        <v>0.51246597423611151</v>
      </c>
    </row>
    <row r="30" spans="1:7" x14ac:dyDescent="0.3">
      <c r="A30" t="s">
        <v>72</v>
      </c>
      <c r="C30" s="7">
        <f>C21-$C29</f>
        <v>-1.7180114883932063E-2</v>
      </c>
      <c r="E30" s="7">
        <f>E21-$C29</f>
        <v>-9.0496516095073254E-4</v>
      </c>
      <c r="G30" s="7">
        <f>G21-$C29</f>
        <v>3.3697548876983063E-3</v>
      </c>
    </row>
    <row r="31" spans="1:7" x14ac:dyDescent="0.3">
      <c r="A31" t="s">
        <v>70</v>
      </c>
      <c r="C31">
        <f>C27*C24</f>
        <v>129.96066730188994</v>
      </c>
      <c r="E31">
        <f>E27*E24</f>
        <v>491.39484818775992</v>
      </c>
      <c r="G31">
        <f>G27*G24</f>
        <v>771.91475610665691</v>
      </c>
    </row>
    <row r="32" spans="1:7" x14ac:dyDescent="0.3">
      <c r="A32" s="288" t="s">
        <v>71</v>
      </c>
      <c r="B32" s="118" t="s">
        <v>357</v>
      </c>
      <c r="C32" s="139">
        <f>MOD(SUM(B31:G31)/SUM(B27:G27),360)</f>
        <v>57.872568418718998</v>
      </c>
    </row>
    <row r="33" spans="1:7" x14ac:dyDescent="0.3">
      <c r="A33" t="s">
        <v>73</v>
      </c>
      <c r="C33" s="7">
        <f>C24-$C32</f>
        <v>0.9699205558591828</v>
      </c>
      <c r="E33" s="7">
        <f>E24-$C32</f>
        <v>0.90234677123382312</v>
      </c>
      <c r="G33" s="7">
        <f>G24-$C32</f>
        <v>-0.71721348053628731</v>
      </c>
    </row>
    <row r="34" spans="1:7" s="347" customFormat="1" ht="75.75" customHeight="1" x14ac:dyDescent="0.3">
      <c r="A34" s="15" t="s">
        <v>40</v>
      </c>
    </row>
    <row r="35" spans="1:7" s="19" customFormat="1" x14ac:dyDescent="0.3">
      <c r="A35" s="20" t="s">
        <v>54</v>
      </c>
      <c r="B35" s="20"/>
      <c r="C35" s="20"/>
      <c r="D35" s="20"/>
      <c r="E35" s="20"/>
    </row>
    <row r="36" spans="1:7" x14ac:dyDescent="0.3">
      <c r="A36" s="7" t="s">
        <v>42</v>
      </c>
      <c r="B36" s="118"/>
      <c r="C36" s="147">
        <f>C8*$C29</f>
        <v>5.0472045085103678</v>
      </c>
      <c r="D36" s="118"/>
      <c r="E36" s="147">
        <f>E8*$C29</f>
        <v>70.023654976881105</v>
      </c>
      <c r="F36" s="118"/>
      <c r="G36" s="147">
        <f>G8*$C29</f>
        <v>181.20845149567248</v>
      </c>
    </row>
    <row r="37" spans="1:7" x14ac:dyDescent="0.3">
      <c r="A37" t="s">
        <v>50</v>
      </c>
      <c r="B37" s="118"/>
      <c r="C37" s="141">
        <f>C36-C16</f>
        <v>0.16920450851036772</v>
      </c>
      <c r="D37" s="118"/>
      <c r="E37" s="141">
        <f>E36-E16</f>
        <v>0.12365497688109883</v>
      </c>
      <c r="F37" s="118"/>
      <c r="G37" s="141">
        <f>G36-G16</f>
        <v>-1.1915485043275282</v>
      </c>
    </row>
    <row r="38" spans="1:7" x14ac:dyDescent="0.3">
      <c r="A38" t="s">
        <v>51</v>
      </c>
      <c r="B38" s="118"/>
      <c r="C38" s="142">
        <f>C37/C16</f>
        <v>3.4687271117336556E-2</v>
      </c>
      <c r="D38" s="118"/>
      <c r="E38" s="142">
        <f>E37/E16</f>
        <v>1.7690268509456197E-3</v>
      </c>
      <c r="F38" s="118"/>
      <c r="G38" s="142">
        <f>G37/G16</f>
        <v>-6.532612414076361E-3</v>
      </c>
    </row>
    <row r="39" spans="1:7" x14ac:dyDescent="0.3">
      <c r="A39" t="s">
        <v>53</v>
      </c>
      <c r="B39" s="118">
        <f>AVERAGE(B37:C37)</f>
        <v>0.16920450851036772</v>
      </c>
      <c r="C39" s="142">
        <f>AVERAGE(C38:C38)</f>
        <v>3.4687271117336556E-2</v>
      </c>
      <c r="D39" s="118">
        <f>AVERAGE(D37:E37)</f>
        <v>0.12365497688109883</v>
      </c>
      <c r="E39" s="142">
        <f>AVERAGE(E38:E38)</f>
        <v>1.7690268509456197E-3</v>
      </c>
      <c r="F39" s="118">
        <f>AVERAGE(F37:G37)</f>
        <v>-1.1915485043275282</v>
      </c>
      <c r="G39" s="142">
        <f>AVERAGE(G38:G38)</f>
        <v>-6.532612414076361E-3</v>
      </c>
    </row>
    <row r="40" spans="1:7" x14ac:dyDescent="0.3">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
      <c r="B41" s="118"/>
      <c r="C41" s="142"/>
      <c r="D41" s="118"/>
      <c r="E41" s="142"/>
      <c r="F41" s="118"/>
      <c r="G41" s="142"/>
    </row>
    <row r="42" spans="1:7" x14ac:dyDescent="0.3">
      <c r="A42" s="7" t="s">
        <v>43</v>
      </c>
      <c r="B42" s="118"/>
      <c r="C42" s="141">
        <f>MOD(C9-$C32,360)</f>
        <v>56.08992055585918</v>
      </c>
      <c r="D42" s="118"/>
      <c r="E42" s="141">
        <f>MOD(E9-$C32,360)</f>
        <v>161.90234677123382</v>
      </c>
      <c r="F42" s="118"/>
      <c r="G42" s="141">
        <f>MOD(G9-$C32,360)</f>
        <v>220.28278651946371</v>
      </c>
    </row>
    <row r="43" spans="1:7" x14ac:dyDescent="0.3">
      <c r="A43" t="s">
        <v>55</v>
      </c>
      <c r="B43" s="118"/>
      <c r="C43" s="141">
        <f>C42-C17</f>
        <v>0.9699205558591828</v>
      </c>
      <c r="D43" s="118"/>
      <c r="E43" s="141">
        <f>E42-E17</f>
        <v>0.90234677123382312</v>
      </c>
      <c r="F43" s="118"/>
      <c r="G43" s="141">
        <f>G42-G17</f>
        <v>-0.71721348053628731</v>
      </c>
    </row>
    <row r="44" spans="1:7" x14ac:dyDescent="0.3">
      <c r="A44" t="s">
        <v>56</v>
      </c>
      <c r="B44" s="118">
        <f>AVERAGE(B43:C43)</f>
        <v>0.9699205558591828</v>
      </c>
      <c r="C44" s="141"/>
      <c r="D44" s="118">
        <f>AVERAGE(D43:E43)</f>
        <v>0.90234677123382312</v>
      </c>
      <c r="E44" s="141"/>
      <c r="F44" s="118">
        <f>AVERAGE(F43:G43)</f>
        <v>-0.71721348053628731</v>
      </c>
      <c r="G44" s="141"/>
    </row>
    <row r="45" spans="1:7" x14ac:dyDescent="0.3">
      <c r="A45" t="s">
        <v>57</v>
      </c>
      <c r="B45" s="118" t="e">
        <f>STDEV(B43:C43)</f>
        <v>#DIV/0!</v>
      </c>
      <c r="C45" s="141"/>
      <c r="D45" s="118" t="e">
        <f>STDEV(D43:E43)</f>
        <v>#DIV/0!</v>
      </c>
      <c r="E45" s="141"/>
      <c r="F45" s="118" t="e">
        <f>STDEV(F43:G43)</f>
        <v>#DIV/0!</v>
      </c>
      <c r="G45" s="141"/>
    </row>
    <row r="46" spans="1:7" x14ac:dyDescent="0.3">
      <c r="B46" s="118"/>
      <c r="C46" s="141"/>
      <c r="D46" s="118"/>
      <c r="E46" s="141"/>
      <c r="F46" s="118"/>
      <c r="G46" s="141"/>
    </row>
    <row r="47" spans="1:7" x14ac:dyDescent="0.3">
      <c r="A47" t="s">
        <v>44</v>
      </c>
      <c r="B47" s="72">
        <f>-C36*SIN((C42)/180*PI())</f>
        <v>-4.1887464598409512</v>
      </c>
      <c r="C47" s="72">
        <f>C36*COS((C42)/180*PI())</f>
        <v>2.8157905543376764</v>
      </c>
      <c r="D47" s="72">
        <f>-E36*SIN((E42)/180*PI())</f>
        <v>-21.751972934221083</v>
      </c>
      <c r="E47" s="72">
        <f>E36*COS((E42)/180*PI())</f>
        <v>-66.559476633986534</v>
      </c>
      <c r="F47" s="72">
        <f>-G36*SIN((G42)/180*PI())</f>
        <v>117.1622488245134</v>
      </c>
      <c r="G47" s="72">
        <f>G36*COS((G42)/180*PI())</f>
        <v>-138.23715254533528</v>
      </c>
    </row>
    <row r="48" spans="1:7" s="10" customFormat="1" x14ac:dyDescent="0.3">
      <c r="A48" t="s">
        <v>45</v>
      </c>
      <c r="B48" s="72">
        <f t="shared" ref="B48:G48" si="2">B47-B18</f>
        <v>-0.18707163557925011</v>
      </c>
      <c r="C48" s="72">
        <f t="shared" si="2"/>
        <v>2.6259661719692851E-2</v>
      </c>
      <c r="D48" s="72">
        <f t="shared" si="2"/>
        <v>1.0052410623341643</v>
      </c>
      <c r="E48" s="72">
        <f t="shared" si="2"/>
        <v>-0.46772819959427636</v>
      </c>
      <c r="F48" s="72">
        <f t="shared" si="2"/>
        <v>-2.5029180633551533</v>
      </c>
      <c r="G48" s="72">
        <f t="shared" si="2"/>
        <v>-0.57812511270168443</v>
      </c>
    </row>
    <row r="49" spans="1:16" x14ac:dyDescent="0.3">
      <c r="A49" t="s">
        <v>46</v>
      </c>
      <c r="B49" s="118">
        <f t="shared" ref="B49:G49" si="3">B48^2</f>
        <v>3.4995796838295755E-2</v>
      </c>
      <c r="C49" s="118">
        <f t="shared" si="3"/>
        <v>6.8956983363270205E-4</v>
      </c>
      <c r="D49" s="118">
        <f t="shared" si="3"/>
        <v>1.0105095934027193</v>
      </c>
      <c r="E49" s="118">
        <f t="shared" si="3"/>
        <v>0.21876966869570322</v>
      </c>
      <c r="F49" s="118">
        <f t="shared" si="3"/>
        <v>6.2645988318695114</v>
      </c>
      <c r="G49" s="118">
        <f t="shared" si="3"/>
        <v>0.33422864593633533</v>
      </c>
    </row>
    <row r="50" spans="1:16" s="10" customFormat="1" x14ac:dyDescent="0.3">
      <c r="A50" t="s">
        <v>47</v>
      </c>
      <c r="B50" s="72"/>
      <c r="C50" s="72">
        <f>SQRT(B49+C49)</f>
        <v>0.18890570841541146</v>
      </c>
      <c r="D50" s="72"/>
      <c r="E50" s="72">
        <f>SQRT(D49+E49)</f>
        <v>1.1087286692867748</v>
      </c>
      <c r="F50" s="72"/>
      <c r="G50" s="72">
        <f>SQRT(F49+G49)</f>
        <v>2.5688183037742949</v>
      </c>
    </row>
    <row r="51" spans="1:16" s="10" customFormat="1" x14ac:dyDescent="0.3">
      <c r="A51" t="s">
        <v>48</v>
      </c>
      <c r="B51" s="72"/>
      <c r="C51" s="77">
        <f>C50/C36</f>
        <v>3.7427789600537727E-2</v>
      </c>
      <c r="D51" s="72"/>
      <c r="E51" s="77">
        <f>E50/E36</f>
        <v>1.5833630358952713E-2</v>
      </c>
      <c r="F51" s="72"/>
      <c r="G51" s="77">
        <f>G50/G36</f>
        <v>1.4176040259555123E-2</v>
      </c>
    </row>
    <row r="52" spans="1:16" s="10" customFormat="1" x14ac:dyDescent="0.3">
      <c r="A52"/>
      <c r="B52" s="72"/>
      <c r="C52" s="144"/>
      <c r="D52" s="72"/>
      <c r="E52" s="144"/>
      <c r="F52" s="72"/>
      <c r="G52" s="144"/>
    </row>
    <row r="53" spans="1:16" s="10" customFormat="1" x14ac:dyDescent="0.3">
      <c r="A53" t="s">
        <v>89</v>
      </c>
      <c r="B53" s="72">
        <f>MEDIAN(B50:C50)</f>
        <v>0.18890570841541146</v>
      </c>
      <c r="C53" s="144"/>
      <c r="D53" s="72">
        <f>MEDIAN(D50:E50)</f>
        <v>1.1087286692867748</v>
      </c>
      <c r="E53" s="144"/>
      <c r="F53" s="72">
        <f>MEDIAN(F50:G50)</f>
        <v>2.5688183037742949</v>
      </c>
      <c r="G53" s="144"/>
    </row>
    <row r="54" spans="1:16" s="10" customFormat="1" x14ac:dyDescent="0.3">
      <c r="A54" t="s">
        <v>81</v>
      </c>
      <c r="B54" s="72">
        <f>AVERAGE(B50:C50)</f>
        <v>0.18890570841541146</v>
      </c>
      <c r="C54" s="144"/>
      <c r="D54" s="72">
        <f>AVERAGE(D50:E50)</f>
        <v>1.1087286692867748</v>
      </c>
      <c r="E54" s="144"/>
      <c r="F54" s="72">
        <f>AVERAGE(F50:G50)</f>
        <v>2.5688183037742949</v>
      </c>
      <c r="G54" s="144"/>
    </row>
    <row r="55" spans="1:16" s="10" customFormat="1" x14ac:dyDescent="0.3">
      <c r="A55" t="s">
        <v>82</v>
      </c>
      <c r="B55" s="72" t="e">
        <f>STDEV(B50:C50)</f>
        <v>#DIV/0!</v>
      </c>
      <c r="C55" s="144"/>
      <c r="D55" s="72" t="e">
        <f>STDEV(D50:E50)</f>
        <v>#DIV/0!</v>
      </c>
      <c r="E55" s="144"/>
      <c r="F55" s="72" t="e">
        <f>STDEV(F50:G50)</f>
        <v>#DIV/0!</v>
      </c>
      <c r="G55" s="144"/>
    </row>
    <row r="56" spans="1:16" s="10" customFormat="1" x14ac:dyDescent="0.3">
      <c r="A56" t="s">
        <v>83</v>
      </c>
      <c r="B56" s="72"/>
      <c r="C56" s="144"/>
      <c r="D56" s="72"/>
      <c r="E56" s="144"/>
      <c r="F56" s="72"/>
      <c r="G56" s="144"/>
    </row>
    <row r="57" spans="1:16" s="10" customFormat="1" x14ac:dyDescent="0.3">
      <c r="A57"/>
      <c r="B57" s="72"/>
      <c r="C57" s="72"/>
      <c r="D57" s="72"/>
      <c r="E57" s="72"/>
      <c r="F57" s="72"/>
      <c r="G57" s="72"/>
    </row>
    <row r="58" spans="1:16" s="10" customFormat="1" x14ac:dyDescent="0.3">
      <c r="B58" s="139"/>
      <c r="C58" s="139"/>
      <c r="D58" s="139"/>
      <c r="E58" s="139"/>
      <c r="F58" s="139"/>
      <c r="G58" s="139"/>
    </row>
    <row r="59" spans="1:16" s="118" customFormat="1" x14ac:dyDescent="0.3">
      <c r="A59" s="359" t="s">
        <v>115</v>
      </c>
      <c r="B59" s="361" t="e">
        <f>AVERAGE(C36,#REF!,#REF!,#REF!,#REF!)</f>
        <v>#REF!</v>
      </c>
      <c r="C59" s="362" t="e">
        <f>B59-C16</f>
        <v>#REF!</v>
      </c>
      <c r="D59" s="361" t="e">
        <f>AVERAGE(E36,#REF!,#REF!,#REF!,#REF!)</f>
        <v>#REF!</v>
      </c>
      <c r="E59" s="362" t="e">
        <f>D59-E16</f>
        <v>#REF!</v>
      </c>
      <c r="F59" s="361" t="e">
        <f>AVERAGE(G36,#REF!,#REF!,#REF!,#REF!)</f>
        <v>#REF!</v>
      </c>
      <c r="G59" s="362" t="e">
        <f>F59-G16</f>
        <v>#REF!</v>
      </c>
      <c r="H59" s="302"/>
      <c r="J59" s="166"/>
      <c r="K59" s="141"/>
      <c r="L59" s="302"/>
      <c r="N59" s="166"/>
      <c r="O59" s="141"/>
      <c r="P59" s="302"/>
    </row>
    <row r="60" spans="1:16" s="118" customFormat="1" x14ac:dyDescent="0.3">
      <c r="A60" s="360" t="s">
        <v>116</v>
      </c>
      <c r="B60" s="361" t="e">
        <f>STDEV(C36,#REF!,#REF!,#REF!,#REF!)</f>
        <v>#REF!</v>
      </c>
      <c r="C60" s="363" t="e">
        <f>B60/SQRT(5)</f>
        <v>#REF!</v>
      </c>
      <c r="D60" s="361" t="e">
        <f>STDEV(E36,#REF!,#REF!,#REF!,#REF!)</f>
        <v>#REF!</v>
      </c>
      <c r="E60" s="363" t="e">
        <f>D60/SQRT(5)</f>
        <v>#REF!</v>
      </c>
      <c r="F60" s="361" t="e">
        <f>STDEV(G36,#REF!,#REF!,#REF!,#REF!)</f>
        <v>#REF!</v>
      </c>
      <c r="G60" s="363" t="e">
        <f>F60/SQRT(5)</f>
        <v>#REF!</v>
      </c>
      <c r="J60" s="166"/>
      <c r="N60" s="166"/>
    </row>
    <row r="61" spans="1:16" s="118" customFormat="1" x14ac:dyDescent="0.3">
      <c r="A61" s="360" t="s">
        <v>117</v>
      </c>
      <c r="B61" s="361" t="e">
        <f>AVERAGE(C42,#REF!,#REF!,#REF!,#REF!)</f>
        <v>#REF!</v>
      </c>
      <c r="C61" s="364" t="e">
        <f>B61-C17</f>
        <v>#REF!</v>
      </c>
      <c r="D61" s="361" t="e">
        <f>AVERAGE(E42,#REF!,#REF!,#REF!,#REF!)</f>
        <v>#REF!</v>
      </c>
      <c r="E61" s="364" t="e">
        <f>D61-E17</f>
        <v>#REF!</v>
      </c>
      <c r="F61" s="361" t="e">
        <f>AVERAGE(G42,#REF!,#REF!,#REF!,#REF!)</f>
        <v>#REF!</v>
      </c>
      <c r="G61" s="364" t="e">
        <f>F61-G17</f>
        <v>#REF!</v>
      </c>
      <c r="J61" s="166"/>
      <c r="N61" s="166"/>
    </row>
    <row r="62" spans="1:16" s="118" customFormat="1" x14ac:dyDescent="0.3">
      <c r="A62" s="360" t="s">
        <v>118</v>
      </c>
      <c r="B62" s="361" t="e">
        <f>STDEV(C42,#REF!,#REF!,#REF!,#REF!)</f>
        <v>#REF!</v>
      </c>
      <c r="C62" s="363" t="e">
        <f>B62/SQRT(5)</f>
        <v>#REF!</v>
      </c>
      <c r="D62" s="361" t="e">
        <f>STDEV(E42,#REF!,#REF!,#REF!,#REF!)</f>
        <v>#REF!</v>
      </c>
      <c r="E62" s="363" t="e">
        <f>D62/SQRT(5)</f>
        <v>#REF!</v>
      </c>
      <c r="F62" s="361" t="e">
        <f>STDEV(G42,#REF!,#REF!,#REF!,#REF!)</f>
        <v>#REF!</v>
      </c>
      <c r="G62" s="363" t="e">
        <f>F62/SQRT(5)</f>
        <v>#REF!</v>
      </c>
      <c r="J62" s="166"/>
      <c r="N62" s="166"/>
    </row>
  </sheetData>
  <mergeCells count="3">
    <mergeCell ref="B10:C10"/>
    <mergeCell ref="D10:E10"/>
    <mergeCell ref="F10:G10"/>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2"/>
  <sheetViews>
    <sheetView zoomScale="80" zoomScaleNormal="80" workbookViewId="0">
      <pane xSplit="1" ySplit="2" topLeftCell="B3" activePane="bottomRight" state="frozenSplit"/>
      <selection pane="topRight"/>
      <selection pane="bottomLeft" activeCell="A3" sqref="A3"/>
      <selection pane="bottomRight" activeCell="E17" sqref="E17"/>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 min="8" max="8" width="9.5546875" bestFit="1" customWidth="1"/>
    <col min="9" max="9" width="12" customWidth="1"/>
    <col min="11" max="11" width="11.109375" customWidth="1"/>
    <col min="13" max="13" width="9.5546875" customWidth="1"/>
    <col min="14" max="14" width="9.5546875" bestFit="1" customWidth="1"/>
    <col min="15" max="15" width="12" customWidth="1"/>
    <col min="17" max="17" width="11.109375" customWidth="1"/>
    <col min="19" max="19" width="9.5546875" customWidth="1"/>
    <col min="20" max="20" width="9.5546875" bestFit="1" customWidth="1"/>
    <col min="21" max="21" width="12" customWidth="1"/>
    <col min="23" max="23" width="11.109375" customWidth="1"/>
    <col min="25" max="25" width="9.5546875" customWidth="1"/>
    <col min="26" max="26" width="9.5546875" bestFit="1" customWidth="1"/>
    <col min="27" max="27" width="12" customWidth="1"/>
    <col min="29" max="29" width="11.109375" customWidth="1"/>
    <col min="31" max="31" width="9.5546875" customWidth="1"/>
    <col min="32" max="32" width="9.5546875" bestFit="1" customWidth="1"/>
    <col min="33" max="33" width="12" customWidth="1"/>
    <col min="35" max="35" width="11.109375" customWidth="1"/>
    <col min="37" max="37" width="9.5546875" customWidth="1"/>
    <col min="38" max="38" width="9.5546875" bestFit="1" customWidth="1"/>
    <col min="39" max="39" width="12" customWidth="1"/>
    <col min="41" max="41" width="11.109375" customWidth="1"/>
    <col min="43" max="43" width="9.5546875" customWidth="1"/>
  </cols>
  <sheetData>
    <row r="1" spans="1:43" s="19" customFormat="1" x14ac:dyDescent="0.3">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row>
    <row r="2" spans="1:43" s="348" customFormat="1" x14ac:dyDescent="0.3">
      <c r="C2" s="348" t="s">
        <v>443</v>
      </c>
      <c r="E2" s="348" t="s">
        <v>444</v>
      </c>
      <c r="G2" s="348" t="s">
        <v>445</v>
      </c>
      <c r="I2" s="348" t="s">
        <v>443</v>
      </c>
      <c r="K2" s="348" t="s">
        <v>444</v>
      </c>
      <c r="M2" s="348" t="s">
        <v>445</v>
      </c>
      <c r="O2" s="348" t="s">
        <v>443</v>
      </c>
      <c r="Q2" s="348" t="s">
        <v>444</v>
      </c>
      <c r="S2" s="348" t="s">
        <v>445</v>
      </c>
      <c r="U2" s="348" t="s">
        <v>443</v>
      </c>
      <c r="W2" s="348" t="s">
        <v>444</v>
      </c>
      <c r="Y2" s="348" t="s">
        <v>445</v>
      </c>
      <c r="AA2" s="348" t="s">
        <v>443</v>
      </c>
      <c r="AC2" s="348" t="s">
        <v>444</v>
      </c>
      <c r="AE2" s="348" t="s">
        <v>445</v>
      </c>
      <c r="AG2" s="348" t="s">
        <v>443</v>
      </c>
      <c r="AI2" s="348" t="s">
        <v>444</v>
      </c>
      <c r="AK2" s="348" t="s">
        <v>445</v>
      </c>
      <c r="AM2" s="348" t="s">
        <v>443</v>
      </c>
      <c r="AO2" s="348" t="s">
        <v>444</v>
      </c>
      <c r="AQ2" s="348" t="s">
        <v>445</v>
      </c>
    </row>
    <row r="3" spans="1:43" s="348" customFormat="1" x14ac:dyDescent="0.3">
      <c r="B3" s="348" t="s">
        <v>446</v>
      </c>
      <c r="C3" s="348" t="s">
        <v>447</v>
      </c>
      <c r="H3" s="348" t="s">
        <v>446</v>
      </c>
      <c r="I3" s="348" t="s">
        <v>447</v>
      </c>
      <c r="K3" s="357"/>
      <c r="N3" s="348" t="s">
        <v>446</v>
      </c>
      <c r="O3" s="348" t="s">
        <v>447</v>
      </c>
      <c r="Q3" s="357"/>
      <c r="T3" s="348" t="s">
        <v>446</v>
      </c>
      <c r="U3" s="348" t="s">
        <v>447</v>
      </c>
      <c r="V3" s="348" t="s">
        <v>446</v>
      </c>
      <c r="W3" s="348" t="s">
        <v>447</v>
      </c>
      <c r="X3" s="348" t="s">
        <v>446</v>
      </c>
      <c r="Y3" s="348" t="s">
        <v>447</v>
      </c>
      <c r="Z3" s="348" t="s">
        <v>446</v>
      </c>
      <c r="AA3" s="348" t="s">
        <v>447</v>
      </c>
      <c r="AB3" s="348" t="s">
        <v>446</v>
      </c>
      <c r="AC3" s="348" t="s">
        <v>447</v>
      </c>
      <c r="AD3" s="348" t="s">
        <v>446</v>
      </c>
      <c r="AE3" s="348" t="s">
        <v>447</v>
      </c>
      <c r="AF3" s="348" t="s">
        <v>446</v>
      </c>
      <c r="AG3" s="348" t="s">
        <v>447</v>
      </c>
      <c r="AH3" s="348" t="s">
        <v>446</v>
      </c>
      <c r="AI3" s="348" t="s">
        <v>447</v>
      </c>
      <c r="AJ3" s="348" t="s">
        <v>446</v>
      </c>
      <c r="AK3" s="348" t="s">
        <v>447</v>
      </c>
      <c r="AL3" s="348" t="s">
        <v>446</v>
      </c>
      <c r="AM3" s="348" t="s">
        <v>447</v>
      </c>
      <c r="AN3" s="348" t="s">
        <v>446</v>
      </c>
      <c r="AO3" s="348" t="s">
        <v>447</v>
      </c>
      <c r="AP3" s="348" t="s">
        <v>446</v>
      </c>
      <c r="AQ3" s="348" t="s">
        <v>447</v>
      </c>
    </row>
    <row r="4" spans="1:43" x14ac:dyDescent="0.3">
      <c r="A4" t="s">
        <v>1</v>
      </c>
      <c r="B4" s="350">
        <v>1676.731</v>
      </c>
      <c r="C4" s="350">
        <v>917.55700000000002</v>
      </c>
      <c r="D4" s="350">
        <v>1676.731</v>
      </c>
      <c r="E4" s="350">
        <v>917.55700000000002</v>
      </c>
      <c r="F4" s="350">
        <v>1676.731</v>
      </c>
      <c r="G4" s="350">
        <v>917.55700000000002</v>
      </c>
      <c r="H4" s="350">
        <v>1677</v>
      </c>
      <c r="I4" s="350">
        <v>918</v>
      </c>
      <c r="J4" s="350">
        <v>1677</v>
      </c>
      <c r="K4" s="350">
        <v>918</v>
      </c>
      <c r="L4" s="350">
        <v>1677</v>
      </c>
      <c r="M4" s="350">
        <v>918</v>
      </c>
      <c r="N4" s="350">
        <v>1649.5889999999999</v>
      </c>
      <c r="O4" s="350">
        <v>1028.385</v>
      </c>
      <c r="P4" s="350">
        <v>1649.5889999999999</v>
      </c>
      <c r="Q4" s="350">
        <v>1028.385</v>
      </c>
      <c r="R4" s="350">
        <v>1649.5889999999999</v>
      </c>
      <c r="S4" s="350">
        <v>1028.385</v>
      </c>
      <c r="T4" s="350">
        <v>1649.636</v>
      </c>
      <c r="U4" s="350">
        <v>1027.4290000000001</v>
      </c>
      <c r="V4" s="350">
        <v>1649.636</v>
      </c>
      <c r="W4" s="350">
        <v>1027.4290000000001</v>
      </c>
      <c r="X4" s="350">
        <v>1649.636</v>
      </c>
      <c r="Y4" s="350">
        <v>1027.4290000000001</v>
      </c>
      <c r="Z4" s="350">
        <v>1651</v>
      </c>
      <c r="AA4" s="350">
        <v>1029</v>
      </c>
      <c r="AB4" s="350">
        <v>1651</v>
      </c>
      <c r="AC4" s="350">
        <v>1029</v>
      </c>
      <c r="AD4" s="350">
        <v>1651</v>
      </c>
      <c r="AE4" s="350">
        <v>1029</v>
      </c>
      <c r="AF4" s="350">
        <v>1650.6869999999999</v>
      </c>
      <c r="AG4" s="350">
        <v>1052.1859999999999</v>
      </c>
      <c r="AH4" s="350">
        <v>1650.6869999999999</v>
      </c>
      <c r="AI4" s="350">
        <v>1052.1859999999999</v>
      </c>
      <c r="AJ4" s="350">
        <v>1650.6869999999999</v>
      </c>
      <c r="AK4" s="350">
        <v>1052.1859999999999</v>
      </c>
      <c r="AL4" s="350">
        <v>1657.702</v>
      </c>
      <c r="AM4" s="350">
        <v>1002.2140000000001</v>
      </c>
      <c r="AN4" s="350">
        <v>1657.702</v>
      </c>
      <c r="AO4" s="350">
        <v>1002.2140000000001</v>
      </c>
      <c r="AP4" s="350">
        <v>1657.702</v>
      </c>
      <c r="AQ4" s="350">
        <v>1002.2140000000001</v>
      </c>
    </row>
    <row r="5" spans="1:43" x14ac:dyDescent="0.3">
      <c r="A5" t="s">
        <v>2</v>
      </c>
      <c r="B5" s="350">
        <v>1684.787</v>
      </c>
      <c r="C5" s="350">
        <v>921.98</v>
      </c>
      <c r="D5" s="350">
        <v>1703.69</v>
      </c>
      <c r="E5" s="350">
        <v>782.24699999999996</v>
      </c>
      <c r="F5" s="350">
        <v>1419.0440000000001</v>
      </c>
      <c r="G5" s="350">
        <v>673.28800000000001</v>
      </c>
      <c r="H5" s="350">
        <v>1685</v>
      </c>
      <c r="I5" s="350">
        <v>922</v>
      </c>
      <c r="J5" s="350">
        <v>1704.039</v>
      </c>
      <c r="K5" s="350">
        <v>782.68399999999997</v>
      </c>
      <c r="L5" s="350">
        <v>1419.473</v>
      </c>
      <c r="M5" s="350">
        <v>672.44600000000003</v>
      </c>
      <c r="N5" s="350">
        <v>1658.336</v>
      </c>
      <c r="O5" s="350">
        <v>1033.5820000000001</v>
      </c>
      <c r="P5" s="350">
        <v>1677.0229999999999</v>
      </c>
      <c r="Q5" s="350">
        <v>893.00400000000002</v>
      </c>
      <c r="R5" s="350">
        <v>1393.8679999999999</v>
      </c>
      <c r="S5" s="350">
        <v>784.19899999999996</v>
      </c>
      <c r="T5" s="350">
        <v>1657.588</v>
      </c>
      <c r="U5" s="350">
        <v>1032.5050000000001</v>
      </c>
      <c r="V5" s="350">
        <v>1677.0820000000001</v>
      </c>
      <c r="W5" s="350">
        <v>892.81</v>
      </c>
      <c r="X5" s="350">
        <v>1392.0930000000001</v>
      </c>
      <c r="Y5" s="350">
        <v>782.79899999999998</v>
      </c>
      <c r="Z5" s="350">
        <v>1659</v>
      </c>
      <c r="AA5" s="350">
        <v>1033</v>
      </c>
      <c r="AB5" s="350">
        <v>1676.607</v>
      </c>
      <c r="AC5" s="350">
        <v>893.27</v>
      </c>
      <c r="AD5" s="350">
        <v>1392.4590000000001</v>
      </c>
      <c r="AE5" s="350">
        <v>783.40700000000004</v>
      </c>
      <c r="AF5" s="350">
        <v>1658.7439999999999</v>
      </c>
      <c r="AG5" s="350">
        <v>1056.0820000000001</v>
      </c>
      <c r="AH5" s="350">
        <v>1677.73</v>
      </c>
      <c r="AI5" s="350">
        <v>916.78200000000004</v>
      </c>
      <c r="AJ5" s="350">
        <v>1394.646</v>
      </c>
      <c r="AK5" s="350">
        <v>807.01400000000001</v>
      </c>
      <c r="AL5" s="350">
        <v>1664.779</v>
      </c>
      <c r="AM5" s="350">
        <v>1006.021</v>
      </c>
      <c r="AN5" s="350">
        <v>1682.895</v>
      </c>
      <c r="AO5" s="350">
        <v>869.38900000000001</v>
      </c>
      <c r="AP5" s="350">
        <v>1400.9749999999999</v>
      </c>
      <c r="AQ5" s="350">
        <v>759.12099999999998</v>
      </c>
    </row>
    <row r="6" spans="1:43" x14ac:dyDescent="0.3">
      <c r="A6" t="s">
        <v>4</v>
      </c>
      <c r="B6">
        <f t="shared" ref="B6:AE6" si="0">B5-B4</f>
        <v>8.05600000000004</v>
      </c>
      <c r="C6">
        <f t="shared" si="0"/>
        <v>4.4230000000000018</v>
      </c>
      <c r="D6">
        <f t="shared" si="0"/>
        <v>26.95900000000006</v>
      </c>
      <c r="E6">
        <f t="shared" si="0"/>
        <v>-135.31000000000006</v>
      </c>
      <c r="F6">
        <f t="shared" si="0"/>
        <v>-257.6869999999999</v>
      </c>
      <c r="G6">
        <f t="shared" si="0"/>
        <v>-244.26900000000001</v>
      </c>
      <c r="H6">
        <f t="shared" si="0"/>
        <v>8</v>
      </c>
      <c r="I6">
        <f t="shared" si="0"/>
        <v>4</v>
      </c>
      <c r="J6">
        <f t="shared" si="0"/>
        <v>27.038999999999987</v>
      </c>
      <c r="K6">
        <f t="shared" si="0"/>
        <v>-135.31600000000003</v>
      </c>
      <c r="L6">
        <f t="shared" si="0"/>
        <v>-257.52700000000004</v>
      </c>
      <c r="M6">
        <f t="shared" si="0"/>
        <v>-245.55399999999997</v>
      </c>
      <c r="N6">
        <f t="shared" si="0"/>
        <v>8.7470000000000709</v>
      </c>
      <c r="O6">
        <f t="shared" si="0"/>
        <v>5.1970000000001164</v>
      </c>
      <c r="P6">
        <f t="shared" si="0"/>
        <v>27.433999999999969</v>
      </c>
      <c r="Q6">
        <f t="shared" si="0"/>
        <v>-135.38099999999997</v>
      </c>
      <c r="R6">
        <f t="shared" si="0"/>
        <v>-255.721</v>
      </c>
      <c r="S6">
        <f t="shared" si="0"/>
        <v>-244.18600000000004</v>
      </c>
      <c r="T6">
        <f t="shared" si="0"/>
        <v>7.9519999999999982</v>
      </c>
      <c r="U6">
        <f t="shared" si="0"/>
        <v>5.0760000000000218</v>
      </c>
      <c r="V6">
        <f t="shared" si="0"/>
        <v>27.44600000000014</v>
      </c>
      <c r="W6">
        <f t="shared" si="0"/>
        <v>-134.61900000000014</v>
      </c>
      <c r="X6">
        <f t="shared" si="0"/>
        <v>-257.54299999999989</v>
      </c>
      <c r="Y6">
        <f t="shared" si="0"/>
        <v>-244.63000000000011</v>
      </c>
      <c r="Z6">
        <f t="shared" si="0"/>
        <v>8</v>
      </c>
      <c r="AA6">
        <f t="shared" si="0"/>
        <v>4</v>
      </c>
      <c r="AB6">
        <f t="shared" si="0"/>
        <v>25.606999999999971</v>
      </c>
      <c r="AC6">
        <f t="shared" si="0"/>
        <v>-135.73000000000002</v>
      </c>
      <c r="AD6">
        <f t="shared" si="0"/>
        <v>-258.54099999999994</v>
      </c>
      <c r="AE6">
        <f t="shared" si="0"/>
        <v>-245.59299999999996</v>
      </c>
      <c r="AF6">
        <f t="shared" ref="AF6:AK6" si="1">AF5-AF4</f>
        <v>8.0570000000000164</v>
      </c>
      <c r="AG6">
        <f t="shared" si="1"/>
        <v>3.8960000000001855</v>
      </c>
      <c r="AH6">
        <f t="shared" si="1"/>
        <v>27.04300000000012</v>
      </c>
      <c r="AI6">
        <f t="shared" si="1"/>
        <v>-135.40399999999988</v>
      </c>
      <c r="AJ6">
        <f t="shared" si="1"/>
        <v>-256.04099999999994</v>
      </c>
      <c r="AK6">
        <f t="shared" si="1"/>
        <v>-245.17199999999991</v>
      </c>
      <c r="AL6">
        <f t="shared" ref="AL6:AQ6" si="2">AL5-AL4</f>
        <v>7.0769999999999982</v>
      </c>
      <c r="AM6">
        <f t="shared" si="2"/>
        <v>3.8069999999999027</v>
      </c>
      <c r="AN6">
        <f t="shared" si="2"/>
        <v>25.192999999999984</v>
      </c>
      <c r="AO6">
        <f t="shared" si="2"/>
        <v>-132.82500000000005</v>
      </c>
      <c r="AP6">
        <f t="shared" si="2"/>
        <v>-256.72700000000009</v>
      </c>
      <c r="AQ6">
        <f t="shared" si="2"/>
        <v>-243.09300000000007</v>
      </c>
    </row>
    <row r="7" spans="1:43" x14ac:dyDescent="0.3">
      <c r="A7" t="s">
        <v>5</v>
      </c>
      <c r="B7">
        <f t="shared" ref="B7:AE7" si="3">B6^2</f>
        <v>64.899136000000638</v>
      </c>
      <c r="C7">
        <f t="shared" si="3"/>
        <v>19.562929000000015</v>
      </c>
      <c r="D7">
        <f t="shared" si="3"/>
        <v>726.7876810000032</v>
      </c>
      <c r="E7">
        <f t="shared" si="3"/>
        <v>18308.796100000018</v>
      </c>
      <c r="F7">
        <f t="shared" si="3"/>
        <v>66402.58996899995</v>
      </c>
      <c r="G7">
        <f t="shared" si="3"/>
        <v>59667.344361000003</v>
      </c>
      <c r="H7">
        <f t="shared" si="3"/>
        <v>64</v>
      </c>
      <c r="I7">
        <f t="shared" si="3"/>
        <v>16</v>
      </c>
      <c r="J7">
        <f t="shared" si="3"/>
        <v>731.10752099999934</v>
      </c>
      <c r="K7">
        <f t="shared" si="3"/>
        <v>18310.419856000008</v>
      </c>
      <c r="L7">
        <f t="shared" si="3"/>
        <v>66320.15572900002</v>
      </c>
      <c r="M7">
        <f t="shared" si="3"/>
        <v>60296.766915999986</v>
      </c>
      <c r="N7">
        <f t="shared" si="3"/>
        <v>76.510009000001247</v>
      </c>
      <c r="O7">
        <f t="shared" si="3"/>
        <v>27.008809000001211</v>
      </c>
      <c r="P7">
        <f t="shared" si="3"/>
        <v>752.62435599999833</v>
      </c>
      <c r="Q7">
        <f t="shared" si="3"/>
        <v>18328.015160999992</v>
      </c>
      <c r="R7">
        <f t="shared" si="3"/>
        <v>65393.229841</v>
      </c>
      <c r="S7">
        <f t="shared" si="3"/>
        <v>59626.802596000016</v>
      </c>
      <c r="T7">
        <f t="shared" si="3"/>
        <v>63.234303999999973</v>
      </c>
      <c r="U7">
        <f t="shared" si="3"/>
        <v>25.765776000000223</v>
      </c>
      <c r="V7">
        <f t="shared" si="3"/>
        <v>753.28291600000773</v>
      </c>
      <c r="W7">
        <f t="shared" si="3"/>
        <v>18122.275161000038</v>
      </c>
      <c r="X7">
        <f t="shared" si="3"/>
        <v>66328.396848999939</v>
      </c>
      <c r="Y7">
        <f t="shared" si="3"/>
        <v>59843.836900000053</v>
      </c>
      <c r="Z7">
        <f t="shared" si="3"/>
        <v>64</v>
      </c>
      <c r="AA7">
        <f t="shared" si="3"/>
        <v>16</v>
      </c>
      <c r="AB7">
        <f t="shared" si="3"/>
        <v>655.71844899999849</v>
      </c>
      <c r="AC7">
        <f t="shared" si="3"/>
        <v>18422.632900000004</v>
      </c>
      <c r="AD7">
        <f t="shared" si="3"/>
        <v>66843.448680999965</v>
      </c>
      <c r="AE7">
        <f t="shared" si="3"/>
        <v>60315.921648999982</v>
      </c>
      <c r="AF7">
        <f t="shared" ref="AF7:AK7" si="4">AF6^2</f>
        <v>64.915249000000259</v>
      </c>
      <c r="AG7">
        <f t="shared" si="4"/>
        <v>15.178816000001445</v>
      </c>
      <c r="AH7">
        <f t="shared" si="4"/>
        <v>731.32384900000648</v>
      </c>
      <c r="AI7">
        <f t="shared" si="4"/>
        <v>18334.24321599997</v>
      </c>
      <c r="AJ7">
        <f t="shared" si="4"/>
        <v>65556.993680999964</v>
      </c>
      <c r="AK7">
        <f t="shared" si="4"/>
        <v>60109.309583999959</v>
      </c>
      <c r="AL7">
        <f t="shared" ref="AL7:AQ7" si="5">AL6^2</f>
        <v>50.083928999999976</v>
      </c>
      <c r="AM7">
        <f t="shared" si="5"/>
        <v>14.49324899999926</v>
      </c>
      <c r="AN7">
        <f t="shared" si="5"/>
        <v>634.68724899999916</v>
      </c>
      <c r="AO7">
        <f t="shared" si="5"/>
        <v>17642.480625000011</v>
      </c>
      <c r="AP7">
        <f t="shared" si="5"/>
        <v>65908.752529000049</v>
      </c>
      <c r="AQ7">
        <f t="shared" si="5"/>
        <v>59094.206649000036</v>
      </c>
    </row>
    <row r="8" spans="1:43" x14ac:dyDescent="0.3">
      <c r="A8" t="s">
        <v>6</v>
      </c>
      <c r="C8">
        <f>SQRT(SUM(B7:C7))</f>
        <v>9.190324531810651</v>
      </c>
      <c r="E8">
        <f>SQRT(SUM(D7:E7))</f>
        <v>137.96950308310898</v>
      </c>
      <c r="G8">
        <f>SQRT(SUM(F7:G7))</f>
        <v>355.06328214840795</v>
      </c>
      <c r="I8">
        <f>SQRT(SUM(H7:I7))</f>
        <v>8.9442719099991592</v>
      </c>
      <c r="K8">
        <f>SQRT(SUM(J7:K7))</f>
        <v>137.99104093019955</v>
      </c>
      <c r="M8">
        <f>SQRT(SUM(L7:M7))</f>
        <v>355.83271722116842</v>
      </c>
      <c r="O8">
        <f>SQRT(SUM(N7:O7))</f>
        <v>10.174419786897062</v>
      </c>
      <c r="Q8">
        <f>SQRT(SUM(P7:Q7))</f>
        <v>138.13268808287194</v>
      </c>
      <c r="S8">
        <f>SQRT(SUM(R7:S7))</f>
        <v>353.58171960241384</v>
      </c>
      <c r="U8">
        <f>SQRT(SUM(T7:U7))</f>
        <v>9.4339853720471822</v>
      </c>
      <c r="W8">
        <f>SQRT(SUM(V7:W7))</f>
        <v>137.38834767548536</v>
      </c>
      <c r="Y8">
        <f>SQRT(SUM(X7:Y7))</f>
        <v>355.2073109453126</v>
      </c>
      <c r="AA8">
        <f>SQRT(SUM(Z7:AA7))</f>
        <v>8.9442719099991592</v>
      </c>
      <c r="AC8">
        <f>SQRT(SUM(AB7:AC7))</f>
        <v>138.12440533446653</v>
      </c>
      <c r="AE8">
        <f>SQRT(SUM(AD7:AE7))</f>
        <v>356.59412548442236</v>
      </c>
      <c r="AG8">
        <f>SQRT(SUM(AF7:AG7))</f>
        <v>8.9495287585437531</v>
      </c>
      <c r="AI8">
        <f>SQRT(SUM(AH7:AI7))</f>
        <v>138.07811942882179</v>
      </c>
      <c r="AK8">
        <f>SQRT(SUM(AJ7:AK7))</f>
        <v>354.49443333429076</v>
      </c>
      <c r="AM8">
        <f>SQRT(SUM(AL7:AM7))</f>
        <v>8.0359926580354237</v>
      </c>
      <c r="AO8">
        <f>SQRT(SUM(AN7:AO7))</f>
        <v>135.1930762798155</v>
      </c>
      <c r="AQ8">
        <f>SQRT(SUM(AP7:AQ7))</f>
        <v>353.55757547816745</v>
      </c>
    </row>
    <row r="9" spans="1:43" x14ac:dyDescent="0.3">
      <c r="A9" t="s">
        <v>7</v>
      </c>
      <c r="C9">
        <f>MOD(ATAN2(C6,B6)*180/PI()+270,360)</f>
        <v>331.23181488614688</v>
      </c>
      <c r="E9">
        <f>MOD(ATAN2(E6,D6)*180/PI()+270,360)</f>
        <v>78.732010587373964</v>
      </c>
      <c r="G9">
        <f>MOD(ATAN2(G6,F6)*180/PI()+270,360)</f>
        <v>136.53123327336149</v>
      </c>
      <c r="I9">
        <f>MOD(ATAN2(I6,H6)*180/PI()+270,360)</f>
        <v>333.43494882292202</v>
      </c>
      <c r="K9">
        <f>MOD(ATAN2(K6,J6)*180/PI()+270,360)</f>
        <v>78.699920570387008</v>
      </c>
      <c r="M9">
        <f>MOD(ATAN2(M6,L6)*180/PI()+270,360)</f>
        <v>136.36334485462024</v>
      </c>
      <c r="O9">
        <f>MOD(ATAN2(O6,N6)*180/PI()+270,360)</f>
        <v>329.28348124759441</v>
      </c>
      <c r="Q9">
        <f>MOD(ATAN2(Q6,P6)*180/PI()+270,360)</f>
        <v>78.544538272139448</v>
      </c>
      <c r="S9">
        <f>MOD(ATAN2(S6,R6)*180/PI()+270,360)</f>
        <v>136.32182497975634</v>
      </c>
      <c r="U9">
        <f>MOD(ATAN2(U6,T6)*180/PI()+270,360)</f>
        <v>327.44868943939508</v>
      </c>
      <c r="W9">
        <f>MOD(ATAN2(W6,V6)*180/PI()+270,360)</f>
        <v>78.476520299480512</v>
      </c>
      <c r="Y9">
        <f>MOD(ATAN2(Y6,X6)*180/PI()+270,360)</f>
        <v>136.47299316122258</v>
      </c>
      <c r="AA9">
        <f>MOD(ATAN2(AA6,Z6)*180/PI()+270,360)</f>
        <v>333.43494882292202</v>
      </c>
      <c r="AC9">
        <f>MOD(ATAN2(AC6,AB6)*180/PI()+270,360)</f>
        <v>79.316079733375602</v>
      </c>
      <c r="AE9">
        <f>MOD(ATAN2(AE6,AD6)*180/PI()+270,360)</f>
        <v>136.47124116566999</v>
      </c>
      <c r="AG9">
        <f>MOD(ATAN2(AG6,AF6)*180/PI()+270,360)</f>
        <v>334.19369415066217</v>
      </c>
      <c r="AI9">
        <f>MOD(ATAN2(AI6,AH6)*180/PI()+270,360)</f>
        <v>78.705448112756585</v>
      </c>
      <c r="AK9">
        <f>MOD(ATAN2(AK6,AJ6)*180/PI()+270,360)</f>
        <v>136.24228668860118</v>
      </c>
      <c r="AM9">
        <f>MOD(ATAN2(AM6,AL6)*180/PI()+270,360)</f>
        <v>331.72242330914463</v>
      </c>
      <c r="AO9">
        <f>MOD(ATAN2(AO6,AN6)*180/PI()+270,360)</f>
        <v>79.260248592512994</v>
      </c>
      <c r="AQ9">
        <f>MOD(ATAN2(AQ6,AP6)*180/PI()+270,360)</f>
        <v>136.56251649257752</v>
      </c>
    </row>
    <row r="10" spans="1:43" s="349" customFormat="1" ht="117" customHeight="1" x14ac:dyDescent="0.3">
      <c r="A10" s="16" t="s">
        <v>40</v>
      </c>
      <c r="B10" s="393" t="s">
        <v>465</v>
      </c>
      <c r="C10" s="393"/>
      <c r="D10" s="393" t="s">
        <v>450</v>
      </c>
      <c r="E10" s="393"/>
      <c r="F10" s="393" t="s">
        <v>449</v>
      </c>
      <c r="G10" s="393"/>
      <c r="H10" s="393" t="s">
        <v>454</v>
      </c>
      <c r="I10" s="393"/>
      <c r="J10" s="393" t="s">
        <v>452</v>
      </c>
      <c r="K10" s="393"/>
      <c r="L10" s="393" t="s">
        <v>453</v>
      </c>
      <c r="M10" s="393"/>
      <c r="N10" s="393" t="s">
        <v>468</v>
      </c>
      <c r="O10" s="393"/>
      <c r="P10" s="393" t="s">
        <v>466</v>
      </c>
      <c r="Q10" s="393"/>
      <c r="R10" s="393" t="s">
        <v>467</v>
      </c>
      <c r="S10" s="393"/>
      <c r="T10" s="393" t="s">
        <v>469</v>
      </c>
      <c r="U10" s="393"/>
      <c r="V10" s="393" t="s">
        <v>470</v>
      </c>
      <c r="W10" s="393"/>
      <c r="X10" s="393" t="s">
        <v>471</v>
      </c>
      <c r="Y10" s="393"/>
      <c r="Z10" s="393" t="s">
        <v>474</v>
      </c>
      <c r="AA10" s="393"/>
      <c r="AB10" s="393" t="s">
        <v>472</v>
      </c>
      <c r="AC10" s="393"/>
      <c r="AD10" s="393" t="s">
        <v>473</v>
      </c>
      <c r="AE10" s="393"/>
      <c r="AF10" s="393" t="s">
        <v>477</v>
      </c>
      <c r="AG10" s="393"/>
      <c r="AH10" s="393" t="s">
        <v>475</v>
      </c>
      <c r="AI10" s="393"/>
      <c r="AJ10" s="393" t="s">
        <v>476</v>
      </c>
      <c r="AK10" s="393"/>
      <c r="AL10" s="393" t="s">
        <v>478</v>
      </c>
      <c r="AM10" s="393"/>
      <c r="AN10" s="393" t="s">
        <v>475</v>
      </c>
      <c r="AO10" s="393"/>
      <c r="AP10" s="393" t="s">
        <v>476</v>
      </c>
      <c r="AQ10" s="393"/>
    </row>
    <row r="11" spans="1:43" s="19" customFormat="1" x14ac:dyDescent="0.3">
      <c r="A11" s="20" t="s">
        <v>37</v>
      </c>
      <c r="B11" s="20"/>
      <c r="C11" s="20"/>
      <c r="D11" s="20"/>
      <c r="E11" s="20"/>
      <c r="H11" s="20"/>
      <c r="I11" s="20"/>
      <c r="J11" s="20"/>
      <c r="K11" s="20"/>
      <c r="N11" s="20"/>
      <c r="O11" s="20"/>
      <c r="P11" s="20"/>
      <c r="Q11" s="20"/>
      <c r="T11" s="20"/>
      <c r="U11" s="20"/>
      <c r="V11" s="20"/>
      <c r="W11" s="20"/>
      <c r="Z11" s="20"/>
      <c r="AA11" s="20"/>
      <c r="AB11" s="20"/>
      <c r="AC11" s="20"/>
      <c r="AF11" s="20"/>
      <c r="AG11" s="20"/>
      <c r="AH11" s="20"/>
      <c r="AI11" s="20"/>
      <c r="AL11" s="20"/>
      <c r="AM11" s="20"/>
      <c r="AN11" s="20"/>
      <c r="AO11" s="20"/>
    </row>
    <row r="12" spans="1:43" s="1" customFormat="1" x14ac:dyDescent="0.3">
      <c r="B12" s="6"/>
      <c r="D12" s="6"/>
      <c r="H12" s="6"/>
      <c r="J12" s="6"/>
      <c r="N12" s="6"/>
      <c r="P12" s="6"/>
      <c r="T12" s="6"/>
      <c r="V12" s="6"/>
      <c r="Z12" s="6"/>
      <c r="AB12" s="6"/>
      <c r="AF12" s="6"/>
      <c r="AH12" s="6"/>
      <c r="AL12" s="6"/>
      <c r="AN12" s="6"/>
    </row>
    <row r="13" spans="1:43" x14ac:dyDescent="0.3">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c r="AH13" s="5"/>
      <c r="AI13" s="2"/>
      <c r="AJ13" s="5"/>
      <c r="AK13" s="2"/>
      <c r="AL13" s="5"/>
      <c r="AM13" s="2"/>
      <c r="AN13" s="5"/>
      <c r="AO13" s="2"/>
      <c r="AP13" s="5"/>
      <c r="AQ13" s="2"/>
    </row>
    <row r="14" spans="1:43" x14ac:dyDescent="0.3">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c r="AH14" s="5"/>
      <c r="AI14" s="2"/>
      <c r="AJ14" s="5"/>
      <c r="AK14" s="2"/>
      <c r="AL14" s="5"/>
      <c r="AM14" s="2"/>
      <c r="AN14" s="5"/>
      <c r="AO14" s="2"/>
      <c r="AP14" s="5"/>
      <c r="AQ14" s="2"/>
    </row>
    <row r="15" spans="1:43" x14ac:dyDescent="0.3">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row>
    <row r="16" spans="1:43" x14ac:dyDescent="0.3">
      <c r="A16" t="s">
        <v>13</v>
      </c>
      <c r="B16" s="4"/>
      <c r="C16" s="350">
        <v>4.883</v>
      </c>
      <c r="D16" s="4"/>
      <c r="E16" s="350">
        <v>69.900000000000006</v>
      </c>
      <c r="F16" s="4"/>
      <c r="G16" s="350">
        <v>182.4</v>
      </c>
      <c r="H16" s="4"/>
      <c r="I16" s="350">
        <v>4.883</v>
      </c>
      <c r="J16" s="4"/>
      <c r="K16" s="350">
        <v>69.900000000000006</v>
      </c>
      <c r="L16" s="4"/>
      <c r="M16" s="350">
        <v>182.4</v>
      </c>
      <c r="N16" s="4"/>
      <c r="O16" s="350">
        <v>4.883</v>
      </c>
      <c r="P16" s="4"/>
      <c r="Q16" s="350">
        <v>69.900000000000006</v>
      </c>
      <c r="R16" s="4"/>
      <c r="S16" s="350">
        <v>182.4</v>
      </c>
      <c r="T16" s="4"/>
      <c r="U16" s="350">
        <v>4.883</v>
      </c>
      <c r="V16" s="4"/>
      <c r="W16" s="350">
        <v>69.900000000000006</v>
      </c>
      <c r="X16" s="4"/>
      <c r="Y16" s="350">
        <v>182.4</v>
      </c>
      <c r="Z16" s="4"/>
      <c r="AA16" s="350">
        <v>4.883</v>
      </c>
      <c r="AB16" s="4"/>
      <c r="AC16" s="350">
        <v>69.900000000000006</v>
      </c>
      <c r="AD16" s="4"/>
      <c r="AE16" s="350">
        <v>182.4</v>
      </c>
      <c r="AF16" s="4"/>
      <c r="AG16" s="350">
        <v>4.883</v>
      </c>
      <c r="AH16" s="4"/>
      <c r="AI16" s="350">
        <v>69.900000000000006</v>
      </c>
      <c r="AJ16" s="4"/>
      <c r="AK16" s="350">
        <v>182.4</v>
      </c>
      <c r="AL16" s="4"/>
      <c r="AM16" s="350">
        <v>4.883</v>
      </c>
      <c r="AN16" s="4"/>
      <c r="AO16" s="350">
        <v>69.900000000000006</v>
      </c>
      <c r="AP16" s="4"/>
      <c r="AQ16" s="350">
        <v>182.4</v>
      </c>
    </row>
    <row r="17" spans="1:43" x14ac:dyDescent="0.3">
      <c r="A17" t="s">
        <v>7</v>
      </c>
      <c r="C17" s="350">
        <v>55.08</v>
      </c>
      <c r="E17" s="350">
        <v>161</v>
      </c>
      <c r="G17" s="350">
        <v>221</v>
      </c>
      <c r="I17" s="350">
        <v>55.08</v>
      </c>
      <c r="K17" s="350">
        <v>161</v>
      </c>
      <c r="M17" s="350">
        <v>221</v>
      </c>
      <c r="O17" s="350">
        <v>55.08</v>
      </c>
      <c r="Q17" s="350">
        <v>161</v>
      </c>
      <c r="S17" s="350">
        <v>221</v>
      </c>
      <c r="U17" s="350">
        <v>55.08</v>
      </c>
      <c r="W17" s="350">
        <v>161</v>
      </c>
      <c r="Y17" s="350">
        <v>221</v>
      </c>
      <c r="AA17" s="350">
        <v>55.08</v>
      </c>
      <c r="AC17" s="350">
        <v>161</v>
      </c>
      <c r="AE17" s="350">
        <v>221</v>
      </c>
      <c r="AG17" s="350">
        <v>55.08</v>
      </c>
      <c r="AI17" s="350">
        <v>161</v>
      </c>
      <c r="AK17" s="350">
        <v>221</v>
      </c>
      <c r="AM17" s="350">
        <v>55.08</v>
      </c>
      <c r="AO17" s="350">
        <v>161</v>
      </c>
      <c r="AQ17" s="350">
        <v>221</v>
      </c>
    </row>
    <row r="18" spans="1:43" x14ac:dyDescent="0.3">
      <c r="A18" t="s">
        <v>32</v>
      </c>
      <c r="B18" s="9">
        <f>-C16*SIN((C17)/180*PI())</f>
        <v>-4.0038261498361836</v>
      </c>
      <c r="C18" s="9">
        <f>C16*COS((C17)/180*PI())</f>
        <v>2.7951860692783881</v>
      </c>
      <c r="D18" s="9">
        <f>-E16*SIN((E17)/180*PI())</f>
        <v>-22.757213996555247</v>
      </c>
      <c r="E18" s="9">
        <f>E16*COS((E17)/180*PI())</f>
        <v>-66.091748434392258</v>
      </c>
      <c r="F18" s="9">
        <f>-G16*SIN((G17)/180*PI())</f>
        <v>119.66516688786855</v>
      </c>
      <c r="G18" s="9">
        <f>G16*COS((G17)/180*PI())</f>
        <v>-137.65902743263359</v>
      </c>
      <c r="H18" s="9">
        <f>-I16*SIN((I17)/180*PI())</f>
        <v>-4.0038261498361836</v>
      </c>
      <c r="I18" s="9">
        <f>I16*COS((I17)/180*PI())</f>
        <v>2.7951860692783881</v>
      </c>
      <c r="J18" s="9">
        <f>-K16*SIN((K17)/180*PI())</f>
        <v>-22.757213996555247</v>
      </c>
      <c r="K18" s="9">
        <f>K16*COS((K17)/180*PI())</f>
        <v>-66.091748434392258</v>
      </c>
      <c r="L18" s="9">
        <f>-M16*SIN((M17)/180*PI())</f>
        <v>119.66516688786855</v>
      </c>
      <c r="M18" s="9">
        <f>M16*COS((M17)/180*PI())</f>
        <v>-137.65902743263359</v>
      </c>
      <c r="N18" s="9">
        <f>-O16*SIN((O17)/180*PI())</f>
        <v>-4.0038261498361836</v>
      </c>
      <c r="O18" s="9">
        <f>O16*COS((O17)/180*PI())</f>
        <v>2.7951860692783881</v>
      </c>
      <c r="P18" s="9">
        <f>-Q16*SIN((Q17)/180*PI())</f>
        <v>-22.757213996555247</v>
      </c>
      <c r="Q18" s="9">
        <f>Q16*COS((Q17)/180*PI())</f>
        <v>-66.091748434392258</v>
      </c>
      <c r="R18" s="9">
        <f>-S16*SIN((S17)/180*PI())</f>
        <v>119.66516688786855</v>
      </c>
      <c r="S18" s="9">
        <f>S16*COS((S17)/180*PI())</f>
        <v>-137.65902743263359</v>
      </c>
      <c r="T18" s="9">
        <f>-U16*SIN((U17)/180*PI())</f>
        <v>-4.0038261498361836</v>
      </c>
      <c r="U18" s="9">
        <f>U16*COS((U17)/180*PI())</f>
        <v>2.7951860692783881</v>
      </c>
      <c r="V18" s="9">
        <f>-W16*SIN((W17)/180*PI())</f>
        <v>-22.757213996555247</v>
      </c>
      <c r="W18" s="9">
        <f>W16*COS((W17)/180*PI())</f>
        <v>-66.091748434392258</v>
      </c>
      <c r="X18" s="9">
        <f>-Y16*SIN((Y17)/180*PI())</f>
        <v>119.66516688786855</v>
      </c>
      <c r="Y18" s="9">
        <f>Y16*COS((Y17)/180*PI())</f>
        <v>-137.65902743263359</v>
      </c>
      <c r="Z18" s="9">
        <f>-AA16*SIN((AA17)/180*PI())</f>
        <v>-4.0038261498361836</v>
      </c>
      <c r="AA18" s="9">
        <f>AA16*COS((AA17)/180*PI())</f>
        <v>2.7951860692783881</v>
      </c>
      <c r="AB18" s="9">
        <f>-AC16*SIN((AC17)/180*PI())</f>
        <v>-22.757213996555247</v>
      </c>
      <c r="AC18" s="9">
        <f>AC16*COS((AC17)/180*PI())</f>
        <v>-66.091748434392258</v>
      </c>
      <c r="AD18" s="9">
        <f>-AE16*SIN((AE17)/180*PI())</f>
        <v>119.66516688786855</v>
      </c>
      <c r="AE18" s="9">
        <f>AE16*COS((AE17)/180*PI())</f>
        <v>-137.65902743263359</v>
      </c>
      <c r="AF18" s="9">
        <f>-AG16*SIN((AG17)/180*PI())</f>
        <v>-4.0038261498361836</v>
      </c>
      <c r="AG18" s="9">
        <f>AG16*COS((AG17)/180*PI())</f>
        <v>2.7951860692783881</v>
      </c>
      <c r="AH18" s="9">
        <f>-AI16*SIN((AI17)/180*PI())</f>
        <v>-22.757213996555247</v>
      </c>
      <c r="AI18" s="9">
        <f>AI16*COS((AI17)/180*PI())</f>
        <v>-66.091748434392258</v>
      </c>
      <c r="AJ18" s="9">
        <f>-AK16*SIN((AK17)/180*PI())</f>
        <v>119.66516688786855</v>
      </c>
      <c r="AK18" s="9">
        <f>AK16*COS((AK17)/180*PI())</f>
        <v>-137.65902743263359</v>
      </c>
      <c r="AL18" s="9">
        <f>-AM16*SIN((AM17)/180*PI())</f>
        <v>-4.0038261498361836</v>
      </c>
      <c r="AM18" s="9">
        <f>AM16*COS((AM17)/180*PI())</f>
        <v>2.7951860692783881</v>
      </c>
      <c r="AN18" s="9">
        <f>-AO16*SIN((AO17)/180*PI())</f>
        <v>-22.757213996555247</v>
      </c>
      <c r="AO18" s="9">
        <f>AO16*COS((AO17)/180*PI())</f>
        <v>-66.091748434392258</v>
      </c>
      <c r="AP18" s="9">
        <f>-AQ16*SIN((AQ17)/180*PI())</f>
        <v>119.66516688786855</v>
      </c>
      <c r="AQ18" s="9">
        <f>AQ16*COS((AQ17)/180*PI())</f>
        <v>-137.65902743263359</v>
      </c>
    </row>
    <row r="19" spans="1:43" s="347" customFormat="1" ht="69" customHeight="1" x14ac:dyDescent="0.3">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row>
    <row r="20" spans="1:43" s="19" customFormat="1" x14ac:dyDescent="0.3">
      <c r="A20" s="18" t="s">
        <v>38</v>
      </c>
    </row>
    <row r="21" spans="1:43" x14ac:dyDescent="0.3">
      <c r="A21" s="7" t="s">
        <v>65</v>
      </c>
      <c r="C21">
        <f>C16/C8</f>
        <v>0.53131964851713087</v>
      </c>
      <c r="E21">
        <f>E16/E8</f>
        <v>0.50663370120202722</v>
      </c>
      <c r="G21">
        <f>G16/G8</f>
        <v>0.51371124295460424</v>
      </c>
      <c r="I21">
        <f>I16/I8</f>
        <v>0.54593599670657367</v>
      </c>
      <c r="K21">
        <f>K16/K8</f>
        <v>0.5065546250597367</v>
      </c>
      <c r="M21">
        <f>M16/M8</f>
        <v>0.51260041916446086</v>
      </c>
      <c r="O21">
        <f>O16/O8</f>
        <v>0.47992908709039911</v>
      </c>
      <c r="Q21">
        <f>Q16/Q8</f>
        <v>0.50603518233181632</v>
      </c>
      <c r="S21">
        <f>S16/S8</f>
        <v>0.51586377317554855</v>
      </c>
      <c r="U21">
        <f>U16/U8</f>
        <v>0.51759673217941249</v>
      </c>
      <c r="W21">
        <f>W16/W8</f>
        <v>0.50877677170341629</v>
      </c>
      <c r="Y21">
        <f>Y16/Y8</f>
        <v>0.51350294427943843</v>
      </c>
      <c r="AA21">
        <f>AA16/AA8</f>
        <v>0.54593599670657367</v>
      </c>
      <c r="AC21">
        <f>AC16/AC8</f>
        <v>0.50606552716544206</v>
      </c>
      <c r="AE21">
        <f>AE16/AE8</f>
        <v>0.51150590255017547</v>
      </c>
      <c r="AG21">
        <f>AG16/AG8</f>
        <v>0.54561532028581927</v>
      </c>
      <c r="AI21">
        <f>AI16/AI8</f>
        <v>0.50623516810013425</v>
      </c>
      <c r="AK21">
        <f>AK16/AK8</f>
        <v>0.51453558320899084</v>
      </c>
      <c r="AM21">
        <f>AM16/AM8</f>
        <v>0.60764117238426618</v>
      </c>
      <c r="AO21">
        <f>AO16/AO8</f>
        <v>0.51703831234171094</v>
      </c>
      <c r="AQ21">
        <f>AQ16/AQ8</f>
        <v>0.51589900104194886</v>
      </c>
    </row>
    <row r="22" spans="1:43" x14ac:dyDescent="0.3">
      <c r="A22" t="s">
        <v>34</v>
      </c>
    </row>
    <row r="23" spans="1:43" x14ac:dyDescent="0.3">
      <c r="A23" t="s">
        <v>35</v>
      </c>
    </row>
    <row r="24" spans="1:43" x14ac:dyDescent="0.3">
      <c r="A24" s="7" t="s">
        <v>64</v>
      </c>
      <c r="C24">
        <f>MOD(C9-C17,360)</f>
        <v>276.15181488614689</v>
      </c>
      <c r="E24">
        <f>MOD(E9-E17,360)</f>
        <v>277.73201058737396</v>
      </c>
      <c r="G24">
        <f>MOD(G9-G17,360)</f>
        <v>275.53123327336152</v>
      </c>
      <c r="I24">
        <f>MOD(I9-I17,360)</f>
        <v>278.35494882292204</v>
      </c>
      <c r="K24">
        <f>MOD(K9-K17,360)</f>
        <v>277.69992057038701</v>
      </c>
      <c r="M24">
        <f>MOD(M9-M17,360)</f>
        <v>275.36334485462021</v>
      </c>
      <c r="O24">
        <f>MOD(O9-O17,360)</f>
        <v>274.20348124759442</v>
      </c>
      <c r="Q24">
        <f>MOD(Q9-Q17,360)</f>
        <v>277.54453827213945</v>
      </c>
      <c r="S24">
        <f>MOD(S9-S17,360)</f>
        <v>275.32182497975634</v>
      </c>
      <c r="U24">
        <f>MOD(U9-U17,360)</f>
        <v>272.3686894393951</v>
      </c>
      <c r="W24">
        <f>MOD(W9-W17,360)</f>
        <v>277.47652029948051</v>
      </c>
      <c r="Y24">
        <f>MOD(Y9-Y17,360)</f>
        <v>275.47299316122258</v>
      </c>
      <c r="AA24">
        <f>MOD(AA9-AA17,360)</f>
        <v>278.35494882292204</v>
      </c>
      <c r="AC24">
        <f>MOD(AC9-AC17,360)</f>
        <v>278.3160797333756</v>
      </c>
      <c r="AE24">
        <f>MOD(AE9-AE17,360)</f>
        <v>275.47124116566999</v>
      </c>
      <c r="AG24">
        <f>MOD(AG9-AG17,360)</f>
        <v>279.11369415066218</v>
      </c>
      <c r="AI24">
        <f>MOD(AI9-AI17,360)</f>
        <v>277.70544811275659</v>
      </c>
      <c r="AK24">
        <f>MOD(AK9-AK17,360)</f>
        <v>275.24228668860121</v>
      </c>
      <c r="AM24">
        <f>MOD(AM9-AM17,360)</f>
        <v>276.64242330914465</v>
      </c>
      <c r="AO24">
        <f>MOD(AO9-AO17,360)</f>
        <v>278.26024859251299</v>
      </c>
      <c r="AQ24">
        <f>MOD(AQ9-AQ17,360)</f>
        <v>275.56251649257752</v>
      </c>
    </row>
    <row r="25" spans="1:43" x14ac:dyDescent="0.3">
      <c r="A25" t="s">
        <v>36</v>
      </c>
    </row>
    <row r="26" spans="1:43" x14ac:dyDescent="0.3">
      <c r="A26" t="s">
        <v>35</v>
      </c>
    </row>
    <row r="27" spans="1:43" x14ac:dyDescent="0.3">
      <c r="A27" t="s">
        <v>67</v>
      </c>
      <c r="C27">
        <f>SQRT(C16)</f>
        <v>2.2097511172075466</v>
      </c>
      <c r="E27">
        <f>SQRT(E16)</f>
        <v>8.3606219864313918</v>
      </c>
      <c r="G27">
        <f>SQRT(G16)</f>
        <v>13.505554412907307</v>
      </c>
      <c r="I27">
        <f>SQRT(I16)</f>
        <v>2.2097511172075466</v>
      </c>
      <c r="K27">
        <f>SQRT(K16)</f>
        <v>8.3606219864313918</v>
      </c>
      <c r="M27">
        <f>SQRT(M16)</f>
        <v>13.505554412907307</v>
      </c>
      <c r="O27">
        <f>SQRT(O16)</f>
        <v>2.2097511172075466</v>
      </c>
      <c r="Q27">
        <f>SQRT(Q16)</f>
        <v>8.3606219864313918</v>
      </c>
      <c r="S27">
        <f>SQRT(S16)</f>
        <v>13.505554412907307</v>
      </c>
      <c r="U27">
        <f>SQRT(U16)</f>
        <v>2.2097511172075466</v>
      </c>
      <c r="W27">
        <f>SQRT(W16)</f>
        <v>8.3606219864313918</v>
      </c>
      <c r="Y27">
        <f>SQRT(Y16)</f>
        <v>13.505554412907307</v>
      </c>
      <c r="AA27">
        <f>SQRT(AA16)</f>
        <v>2.2097511172075466</v>
      </c>
      <c r="AC27">
        <f>SQRT(AC16)</f>
        <v>8.3606219864313918</v>
      </c>
      <c r="AE27">
        <f>SQRT(AE16)</f>
        <v>13.505554412907307</v>
      </c>
      <c r="AG27">
        <f>SQRT(AG16)</f>
        <v>2.2097511172075466</v>
      </c>
      <c r="AI27">
        <f>SQRT(AI16)</f>
        <v>8.3606219864313918</v>
      </c>
      <c r="AK27">
        <f>SQRT(AK16)</f>
        <v>13.505554412907307</v>
      </c>
      <c r="AM27">
        <f>SQRT(AM16)</f>
        <v>2.2097511172075466</v>
      </c>
      <c r="AO27">
        <f>SQRT(AO16)</f>
        <v>8.3606219864313918</v>
      </c>
      <c r="AQ27">
        <f>SQRT(AQ16)</f>
        <v>13.505554412907307</v>
      </c>
    </row>
    <row r="28" spans="1:43" x14ac:dyDescent="0.3">
      <c r="A28" t="s">
        <v>68</v>
      </c>
      <c r="C28">
        <f>C27*C21</f>
        <v>1.1740841869050509</v>
      </c>
      <c r="E28">
        <f>E27*E21</f>
        <v>4.2357728613367813</v>
      </c>
      <c r="G28">
        <f>G27*G21</f>
        <v>6.9379551442456524</v>
      </c>
      <c r="I28">
        <f>I27*I21</f>
        <v>1.2063826786461667</v>
      </c>
      <c r="K28">
        <f>K27*K21</f>
        <v>4.2351117356029446</v>
      </c>
      <c r="M28">
        <f>M27*M21</f>
        <v>6.9229528531047198</v>
      </c>
      <c r="O28">
        <f>O27*O21</f>
        <v>1.0605238363784073</v>
      </c>
      <c r="Q28">
        <f>Q27*Q21</f>
        <v>4.2307688713112022</v>
      </c>
      <c r="S28">
        <f>S27*S21</f>
        <v>6.9670262582700433</v>
      </c>
      <c r="U28">
        <f>U27*U21</f>
        <v>1.1437599571964321</v>
      </c>
      <c r="W28">
        <f>W27*W21</f>
        <v>4.2536902636891671</v>
      </c>
      <c r="Y28">
        <f>Y27*Y21</f>
        <v>6.935141955154065</v>
      </c>
      <c r="AA28">
        <f>AA27*AA21</f>
        <v>1.2063826786461667</v>
      </c>
      <c r="AC28">
        <f>AC27*AC21</f>
        <v>4.2310225729943873</v>
      </c>
      <c r="AE28">
        <f>AE27*AE21</f>
        <v>6.9081707994146573</v>
      </c>
      <c r="AG28">
        <f>AG27*AG21</f>
        <v>1.2056740635671426</v>
      </c>
      <c r="AI28">
        <f>AI27*AI21</f>
        <v>4.2324408767227739</v>
      </c>
      <c r="AK28">
        <f>AK27*AK21</f>
        <v>6.9490883164060211</v>
      </c>
      <c r="AM28">
        <f>AM27*AM21</f>
        <v>1.3427357595374356</v>
      </c>
      <c r="AO28">
        <f>AO27*AO21</f>
        <v>4.3227618819914895</v>
      </c>
      <c r="AQ28">
        <f>AQ27*AQ21</f>
        <v>6.967502030136564</v>
      </c>
    </row>
    <row r="29" spans="1:43" x14ac:dyDescent="0.3">
      <c r="A29" s="288" t="s">
        <v>69</v>
      </c>
      <c r="B29" s="118" t="s">
        <v>357</v>
      </c>
      <c r="C29" s="139">
        <f>SUM(B28:AE28)/SUM(B27:AE27)</f>
        <v>0.51211939071113721</v>
      </c>
      <c r="H29" s="118"/>
      <c r="I29" s="139"/>
      <c r="N29" s="118"/>
      <c r="O29" s="139"/>
      <c r="T29" s="118"/>
      <c r="U29" s="139"/>
      <c r="Z29" s="118"/>
      <c r="AA29" s="139"/>
      <c r="AF29" s="118"/>
      <c r="AG29" s="139"/>
      <c r="AL29" s="118"/>
      <c r="AM29" s="139"/>
    </row>
    <row r="30" spans="1:43" x14ac:dyDescent="0.3">
      <c r="A30" t="s">
        <v>72</v>
      </c>
      <c r="C30" s="7">
        <f>C21-$C29</f>
        <v>1.9200257805993659E-2</v>
      </c>
      <c r="E30" s="7">
        <f>E21-$C29</f>
        <v>-5.4856895091099922E-3</v>
      </c>
      <c r="G30" s="7">
        <f>G21-$C29</f>
        <v>1.591852243467029E-3</v>
      </c>
      <c r="I30" s="7">
        <f>I21-$C29</f>
        <v>3.3816605995436455E-2</v>
      </c>
      <c r="K30" s="7">
        <f>K21-$C29</f>
        <v>-5.5647656514005162E-3</v>
      </c>
      <c r="M30" s="7">
        <f>M21-$C29</f>
        <v>4.8102845332365085E-4</v>
      </c>
      <c r="O30" s="7">
        <f>O21-$C29</f>
        <v>-3.2190303620738103E-2</v>
      </c>
      <c r="Q30" s="7">
        <f>Q21-$C29</f>
        <v>-6.0842083793208879E-3</v>
      </c>
      <c r="S30" s="7">
        <f>S21-$C29</f>
        <v>3.7443824644113333E-3</v>
      </c>
      <c r="U30" s="7">
        <f>U21-$C29</f>
        <v>5.4773414682752763E-3</v>
      </c>
      <c r="W30" s="7">
        <f>W21-$C29</f>
        <v>-3.3426190077209261E-3</v>
      </c>
      <c r="Y30" s="7">
        <f>Y21-$C29</f>
        <v>1.3835535683012212E-3</v>
      </c>
      <c r="AA30" s="7">
        <f>AA21-$C29</f>
        <v>3.3816605995436455E-2</v>
      </c>
      <c r="AC30" s="7">
        <f>AC21-$C29</f>
        <v>-6.0538635456951484E-3</v>
      </c>
      <c r="AE30" s="7">
        <f>AE21-$C29</f>
        <v>-6.134881609617393E-4</v>
      </c>
      <c r="AG30" s="7">
        <f>AG21-$C29</f>
        <v>3.349592957468206E-2</v>
      </c>
      <c r="AI30" s="7">
        <f>AI21-$C29</f>
        <v>-5.884222611002965E-3</v>
      </c>
      <c r="AK30" s="7">
        <f>AK21-$C29</f>
        <v>2.4161924978536309E-3</v>
      </c>
      <c r="AM30" s="7">
        <f>AM21-$C29</f>
        <v>9.5521781673128969E-2</v>
      </c>
      <c r="AO30" s="7">
        <f>AO21-$C29</f>
        <v>4.9189216305737249E-3</v>
      </c>
      <c r="AQ30" s="7">
        <f>AQ21-$C29</f>
        <v>3.7796103308116447E-3</v>
      </c>
    </row>
    <row r="31" spans="1:43" x14ac:dyDescent="0.3">
      <c r="A31" t="s">
        <v>70</v>
      </c>
      <c r="C31">
        <f>C27*C24</f>
        <v>610.22678146355474</v>
      </c>
      <c r="E31">
        <f>E27*E24</f>
        <v>2322.0123540525947</v>
      </c>
      <c r="G31">
        <f>G27*G24</f>
        <v>3721.2020634288401</v>
      </c>
      <c r="I31">
        <f>I27*I24</f>
        <v>615.0951591417014</v>
      </c>
      <c r="K31">
        <f>K27*K24</f>
        <v>2321.7440615510286</v>
      </c>
      <c r="M31">
        <f>M27*M24</f>
        <v>3718.9346372542323</v>
      </c>
      <c r="O31">
        <f>O27*O24</f>
        <v>605.92144902907035</v>
      </c>
      <c r="Q31">
        <f>Q27*Q24</f>
        <v>2320.4449688919981</v>
      </c>
      <c r="S31">
        <f>S27*S24</f>
        <v>3718.3738883250412</v>
      </c>
      <c r="U31">
        <f>U27*U24</f>
        <v>601.86701578105863</v>
      </c>
      <c r="W31">
        <f>W27*W24</f>
        <v>2319.8762963343133</v>
      </c>
      <c r="Y31">
        <f>Y27*Y24</f>
        <v>3720.4154984253337</v>
      </c>
      <c r="AA31">
        <f>AA27*AA24</f>
        <v>615.0951591417014</v>
      </c>
      <c r="AC31">
        <f>AC27*AC24</f>
        <v>2326.8955353962524</v>
      </c>
      <c r="AE31">
        <f>AE27*AE24</f>
        <v>3720.3918367540673</v>
      </c>
      <c r="AG31">
        <f>AG27*AG24</f>
        <v>616.77179747735124</v>
      </c>
      <c r="AI31">
        <f>AI27*AI24</f>
        <v>2321.7902752432947</v>
      </c>
      <c r="AK31">
        <f>AK27*AK24</f>
        <v>3717.299679605936</v>
      </c>
      <c r="AM31">
        <f>AM27*AM24</f>
        <v>611.31090397438538</v>
      </c>
      <c r="AO31">
        <f>AO27*AO24</f>
        <v>2326.4287523324288</v>
      </c>
      <c r="AQ31">
        <f>AQ27*AQ24</f>
        <v>3721.6245606481725</v>
      </c>
    </row>
    <row r="32" spans="1:43" x14ac:dyDescent="0.3">
      <c r="A32" s="288" t="s">
        <v>71</v>
      </c>
      <c r="B32" s="118" t="s">
        <v>357</v>
      </c>
      <c r="C32" s="139">
        <f>MOD(SUM(B31:AE31)/SUM(B27:AE27),360)</f>
        <v>276.2800866725803</v>
      </c>
      <c r="H32" s="118"/>
      <c r="I32" s="139"/>
      <c r="N32" s="118"/>
      <c r="O32" s="139"/>
      <c r="T32" s="118"/>
      <c r="U32" s="139"/>
      <c r="Z32" s="118"/>
      <c r="AA32" s="139"/>
      <c r="AF32" s="118"/>
      <c r="AG32" s="139"/>
      <c r="AL32" s="118"/>
      <c r="AM32" s="139"/>
    </row>
    <row r="33" spans="1:43" x14ac:dyDescent="0.3">
      <c r="A33" t="s">
        <v>73</v>
      </c>
      <c r="C33" s="7">
        <f>C24-$C32</f>
        <v>-0.12827178643340176</v>
      </c>
      <c r="E33" s="7">
        <f>E24-$C32</f>
        <v>1.4519239147936673</v>
      </c>
      <c r="G33" s="7">
        <f>G24-$C32</f>
        <v>-0.74885339921877403</v>
      </c>
      <c r="I33" s="7">
        <f>I24-$C32</f>
        <v>2.0748621503417439</v>
      </c>
      <c r="K33" s="7">
        <f>K24-$C32</f>
        <v>1.4198338978067113</v>
      </c>
      <c r="M33" s="7">
        <f>M24-$C32</f>
        <v>-0.91674181796008725</v>
      </c>
      <c r="O33" s="7">
        <f>O24-$C32</f>
        <v>-2.0766054249858712</v>
      </c>
      <c r="Q33" s="7">
        <f>Q24-$C32</f>
        <v>1.2644515995591519</v>
      </c>
      <c r="S33" s="7">
        <f>S24-$C32</f>
        <v>-0.95826169282395313</v>
      </c>
      <c r="U33" s="7">
        <f>U24-$C32</f>
        <v>-3.9113972331851983</v>
      </c>
      <c r="W33" s="7">
        <f>W24-$C32</f>
        <v>1.196433626900216</v>
      </c>
      <c r="Y33" s="7">
        <f>Y24-$C32</f>
        <v>-0.80709351135772067</v>
      </c>
      <c r="AA33" s="7">
        <f>AA24-$C32</f>
        <v>2.0748621503417439</v>
      </c>
      <c r="AC33" s="7">
        <f>AC24-$C32</f>
        <v>2.0359930607953061</v>
      </c>
      <c r="AE33" s="7">
        <f>AE24-$C32</f>
        <v>-0.80884550691030199</v>
      </c>
      <c r="AG33" s="7">
        <f>AG24-$C32</f>
        <v>2.8336074780818876</v>
      </c>
      <c r="AI33" s="7">
        <f>AI24-$C32</f>
        <v>1.4253614401762889</v>
      </c>
      <c r="AK33" s="7">
        <f>AK24-$C32</f>
        <v>-1.0377999839790846</v>
      </c>
      <c r="AM33" s="7">
        <f>AM24-$C32</f>
        <v>0.36233663656435056</v>
      </c>
      <c r="AO33" s="7">
        <f>AO24-$C32</f>
        <v>1.9801619199326979</v>
      </c>
      <c r="AQ33" s="7">
        <f>AQ24-$C32</f>
        <v>-0.71757018000278094</v>
      </c>
    </row>
    <row r="34" spans="1:43" s="347" customFormat="1" ht="75.75" customHeight="1" x14ac:dyDescent="0.3">
      <c r="A34" s="15" t="s">
        <v>40</v>
      </c>
    </row>
    <row r="35" spans="1:43" s="19" customFormat="1" x14ac:dyDescent="0.3">
      <c r="A35" s="20" t="s">
        <v>54</v>
      </c>
      <c r="B35" s="20"/>
      <c r="C35" s="20"/>
      <c r="D35" s="20"/>
      <c r="E35" s="20"/>
      <c r="H35" s="20"/>
      <c r="I35" s="20"/>
      <c r="J35" s="20"/>
      <c r="K35" s="20"/>
      <c r="N35" s="20"/>
      <c r="O35" s="20"/>
      <c r="P35" s="20"/>
      <c r="Q35" s="20"/>
      <c r="T35" s="20"/>
      <c r="U35" s="20"/>
      <c r="V35" s="20"/>
      <c r="W35" s="20"/>
      <c r="Z35" s="20"/>
      <c r="AA35" s="20"/>
      <c r="AB35" s="20"/>
      <c r="AC35" s="20"/>
      <c r="AF35" s="20"/>
      <c r="AG35" s="20"/>
      <c r="AH35" s="20"/>
      <c r="AI35" s="20"/>
      <c r="AL35" s="20"/>
      <c r="AM35" s="20"/>
      <c r="AN35" s="20"/>
      <c r="AO35" s="20"/>
    </row>
    <row r="36" spans="1:43" x14ac:dyDescent="0.3">
      <c r="A36" s="7" t="s">
        <v>42</v>
      </c>
      <c r="B36" s="118"/>
      <c r="C36" s="147">
        <f>C8*$C29</f>
        <v>4.7065433996684876</v>
      </c>
      <c r="D36" s="118"/>
      <c r="E36" s="147">
        <f>E8*$C29</f>
        <v>70.656857855640141</v>
      </c>
      <c r="F36" s="118"/>
      <c r="G36" s="147">
        <f>G8*$C29</f>
        <v>181.83479171773928</v>
      </c>
      <c r="H36" s="118"/>
      <c r="I36" s="147">
        <f>I8*$C29</f>
        <v>4.580535080903509</v>
      </c>
      <c r="J36" s="118"/>
      <c r="K36" s="147">
        <f>K8*$C29</f>
        <v>70.667887804769393</v>
      </c>
      <c r="L36" s="118"/>
      <c r="M36" s="147">
        <f>M8*$C29</f>
        <v>182.22883433839314</v>
      </c>
      <c r="N36" s="118"/>
      <c r="O36" s="147">
        <f>O8*$C29</f>
        <v>5.2105176621050617</v>
      </c>
      <c r="P36" s="118"/>
      <c r="Q36" s="147">
        <f>Q8*$C29</f>
        <v>70.74042805829194</v>
      </c>
      <c r="R36" s="118"/>
      <c r="S36" s="147">
        <f>S8*$C29</f>
        <v>181.07605480938435</v>
      </c>
      <c r="T36" s="118"/>
      <c r="U36" s="147">
        <f>U8*$C29</f>
        <v>4.8313268407105845</v>
      </c>
      <c r="V36" s="118"/>
      <c r="W36" s="147">
        <f>W8*$C29</f>
        <v>70.35923690237945</v>
      </c>
      <c r="X36" s="118"/>
      <c r="Y36" s="147">
        <f>Y8*$C29</f>
        <v>181.90855165745495</v>
      </c>
      <c r="Z36" s="118"/>
      <c r="AA36" s="147">
        <f>AA8*$C29</f>
        <v>4.580535080903509</v>
      </c>
      <c r="AB36" s="118"/>
      <c r="AC36" s="147">
        <f>AC8*$C29</f>
        <v>70.73618630222515</v>
      </c>
      <c r="AD36" s="118"/>
      <c r="AE36" s="147">
        <f>AE8*$C29</f>
        <v>182.61876627425318</v>
      </c>
      <c r="AF36" s="118"/>
      <c r="AG36" s="147">
        <f>AG8*$C29</f>
        <v>4.5832272149772271</v>
      </c>
      <c r="AH36" s="118"/>
      <c r="AI36" s="147">
        <f>AI8*$C29</f>
        <v>70.712482392427859</v>
      </c>
      <c r="AJ36" s="118"/>
      <c r="AK36" s="147">
        <f>AK8*$C29</f>
        <v>181.54347320964683</v>
      </c>
      <c r="AL36" s="118"/>
      <c r="AM36" s="147">
        <f>AM8*$C29</f>
        <v>4.1153876637922728</v>
      </c>
      <c r="AN36" s="118"/>
      <c r="AO36" s="147">
        <f>AO8*$C29</f>
        <v>69.234995852783413</v>
      </c>
      <c r="AP36" s="118"/>
      <c r="AQ36" s="147">
        <f>AQ8*$C29</f>
        <v>181.06369013518602</v>
      </c>
    </row>
    <row r="37" spans="1:43" x14ac:dyDescent="0.3">
      <c r="A37" t="s">
        <v>50</v>
      </c>
      <c r="B37" s="118"/>
      <c r="C37" s="141">
        <f>C36-C16</f>
        <v>-0.17645660033151245</v>
      </c>
      <c r="D37" s="118"/>
      <c r="E37" s="141">
        <f>E36-E16</f>
        <v>0.75685785564013486</v>
      </c>
      <c r="F37" s="118"/>
      <c r="G37" s="141">
        <f>G36-G16</f>
        <v>-0.56520828226072695</v>
      </c>
      <c r="H37" s="118"/>
      <c r="I37" s="141">
        <f>I36-I16</f>
        <v>-0.30246491909649098</v>
      </c>
      <c r="J37" s="118"/>
      <c r="K37" s="141">
        <f>K36-K16</f>
        <v>0.76788780476938712</v>
      </c>
      <c r="L37" s="118"/>
      <c r="M37" s="141">
        <f>M36-M16</f>
        <v>-0.17116566160686375</v>
      </c>
      <c r="N37" s="118"/>
      <c r="O37" s="141">
        <f>O36-O16</f>
        <v>0.32751766210506172</v>
      </c>
      <c r="P37" s="118"/>
      <c r="Q37" s="141">
        <f>Q36-Q16</f>
        <v>0.84042805829193412</v>
      </c>
      <c r="R37" s="118"/>
      <c r="S37" s="141">
        <f>S36-S16</f>
        <v>-1.3239451906156603</v>
      </c>
      <c r="T37" s="118"/>
      <c r="U37" s="141">
        <f>U36-U16</f>
        <v>-5.1673159289415516E-2</v>
      </c>
      <c r="V37" s="118"/>
      <c r="W37" s="141">
        <f>W36-W16</f>
        <v>0.4592369023794447</v>
      </c>
      <c r="X37" s="118"/>
      <c r="Y37" s="141">
        <f>Y36-Y16</f>
        <v>-0.49144834254505554</v>
      </c>
      <c r="Z37" s="118"/>
      <c r="AA37" s="141">
        <f>AA36-AA16</f>
        <v>-0.30246491909649098</v>
      </c>
      <c r="AB37" s="118"/>
      <c r="AC37" s="141">
        <f>AC36-AC16</f>
        <v>0.83618630222514412</v>
      </c>
      <c r="AD37" s="118"/>
      <c r="AE37" s="141">
        <f>AE36-AE16</f>
        <v>0.21876627425316997</v>
      </c>
      <c r="AF37" s="118"/>
      <c r="AG37" s="141">
        <f>AG36-AG16</f>
        <v>-0.29977278502277294</v>
      </c>
      <c r="AH37" s="118"/>
      <c r="AI37" s="141">
        <f>AI36-AI16</f>
        <v>0.81248239242785303</v>
      </c>
      <c r="AJ37" s="118"/>
      <c r="AK37" s="141">
        <f>AK36-AK16</f>
        <v>-0.85652679035317192</v>
      </c>
      <c r="AL37" s="118"/>
      <c r="AM37" s="141">
        <f>AM36-AM16</f>
        <v>-0.76761233620772718</v>
      </c>
      <c r="AN37" s="118"/>
      <c r="AO37" s="141">
        <f>AO36-AO16</f>
        <v>-0.6650041472165924</v>
      </c>
      <c r="AP37" s="118"/>
      <c r="AQ37" s="141">
        <f>AQ36-AQ16</f>
        <v>-1.3363098648139839</v>
      </c>
    </row>
    <row r="38" spans="1:43" x14ac:dyDescent="0.3">
      <c r="A38" t="s">
        <v>51</v>
      </c>
      <c r="B38" s="118"/>
      <c r="C38" s="142">
        <f>C37/C16</f>
        <v>-3.6136924090008696E-2</v>
      </c>
      <c r="D38" s="118"/>
      <c r="E38" s="142">
        <f>E37/E16</f>
        <v>1.0827723256654289E-2</v>
      </c>
      <c r="F38" s="118"/>
      <c r="G38" s="142">
        <f>G37/G16</f>
        <v>-3.0987296176574943E-3</v>
      </c>
      <c r="H38" s="118"/>
      <c r="I38" s="142">
        <f>I37/I16</f>
        <v>-6.1942436841386644E-2</v>
      </c>
      <c r="J38" s="118"/>
      <c r="K38" s="142">
        <f>K37/K16</f>
        <v>1.0985519381536295E-2</v>
      </c>
      <c r="L38" s="118"/>
      <c r="M38" s="142">
        <f>M37/M16</f>
        <v>-9.384082324937705E-4</v>
      </c>
      <c r="N38" s="118"/>
      <c r="O38" s="142">
        <f>O37/O16</f>
        <v>6.7073041594319413E-2</v>
      </c>
      <c r="P38" s="118"/>
      <c r="Q38" s="142">
        <f>Q37/Q16</f>
        <v>1.2023291248811647E-2</v>
      </c>
      <c r="R38" s="118"/>
      <c r="S38" s="142">
        <f>S37/S16</f>
        <v>-7.2584714397788391E-3</v>
      </c>
      <c r="T38" s="118"/>
      <c r="U38" s="142">
        <f>U37/U16</f>
        <v>-1.0582256663816406E-2</v>
      </c>
      <c r="V38" s="118"/>
      <c r="W38" s="142">
        <f>W37/W16</f>
        <v>6.5699127665156606E-3</v>
      </c>
      <c r="X38" s="118"/>
      <c r="Y38" s="142">
        <f>Y37/Y16</f>
        <v>-2.694343983251401E-3</v>
      </c>
      <c r="Z38" s="118"/>
      <c r="AA38" s="142">
        <f>AA37/AA16</f>
        <v>-6.1942436841386644E-2</v>
      </c>
      <c r="AB38" s="118"/>
      <c r="AC38" s="142">
        <f>AC37/AC16</f>
        <v>1.1962608043278169E-2</v>
      </c>
      <c r="AD38" s="118"/>
      <c r="AE38" s="142">
        <f>AE37/AE16</f>
        <v>1.1993765035809756E-3</v>
      </c>
      <c r="AF38" s="118"/>
      <c r="AG38" s="142">
        <f>AG37/AG16</f>
        <v>-6.1391108954080058E-2</v>
      </c>
      <c r="AH38" s="118"/>
      <c r="AI38" s="142">
        <f>AI37/AI16</f>
        <v>1.1623496315133805E-2</v>
      </c>
      <c r="AJ38" s="118"/>
      <c r="AK38" s="142">
        <f>AK37/AK16</f>
        <v>-4.6958705611467753E-3</v>
      </c>
      <c r="AL38" s="118"/>
      <c r="AM38" s="142">
        <f>AM37/AM16</f>
        <v>-0.1572009699380969</v>
      </c>
      <c r="AN38" s="118"/>
      <c r="AO38" s="142">
        <f>AO37/AO16</f>
        <v>-9.5136501747724225E-3</v>
      </c>
      <c r="AP38" s="118"/>
      <c r="AQ38" s="142">
        <f>AQ37/AQ16</f>
        <v>-7.3262602237608764E-3</v>
      </c>
    </row>
    <row r="39" spans="1:43" x14ac:dyDescent="0.3">
      <c r="A39" t="s">
        <v>53</v>
      </c>
      <c r="B39" s="118">
        <f>AVERAGE(B37:C37)</f>
        <v>-0.17645660033151245</v>
      </c>
      <c r="C39" s="142">
        <f>AVERAGE(C38:C38)</f>
        <v>-3.6136924090008696E-2</v>
      </c>
      <c r="D39" s="118">
        <f>AVERAGE(D37:E37)</f>
        <v>0.75685785564013486</v>
      </c>
      <c r="E39" s="142">
        <f>AVERAGE(E38:E38)</f>
        <v>1.0827723256654289E-2</v>
      </c>
      <c r="F39" s="118">
        <f>AVERAGE(F37:G37)</f>
        <v>-0.56520828226072695</v>
      </c>
      <c r="G39" s="142">
        <f>AVERAGE(G38:G38)</f>
        <v>-3.0987296176574943E-3</v>
      </c>
      <c r="H39" s="118">
        <f>AVERAGE(H37:I37)</f>
        <v>-0.30246491909649098</v>
      </c>
      <c r="I39" s="142">
        <f>AVERAGE(I38:I38)</f>
        <v>-6.1942436841386644E-2</v>
      </c>
      <c r="J39" s="118">
        <f>AVERAGE(J37:K37)</f>
        <v>0.76788780476938712</v>
      </c>
      <c r="K39" s="142">
        <f>AVERAGE(K38:K38)</f>
        <v>1.0985519381536295E-2</v>
      </c>
      <c r="L39" s="118">
        <f>AVERAGE(L37:M37)</f>
        <v>-0.17116566160686375</v>
      </c>
      <c r="M39" s="142">
        <f>AVERAGE(M38:M38)</f>
        <v>-9.384082324937705E-4</v>
      </c>
      <c r="N39" s="118">
        <f>AVERAGE(N37:O37)</f>
        <v>0.32751766210506172</v>
      </c>
      <c r="O39" s="142">
        <f>AVERAGE(O38:O38)</f>
        <v>6.7073041594319413E-2</v>
      </c>
      <c r="P39" s="118">
        <f>AVERAGE(P37:Q37)</f>
        <v>0.84042805829193412</v>
      </c>
      <c r="Q39" s="142">
        <f>AVERAGE(Q38:Q38)</f>
        <v>1.2023291248811647E-2</v>
      </c>
      <c r="R39" s="118">
        <f>AVERAGE(R37:S37)</f>
        <v>-1.3239451906156603</v>
      </c>
      <c r="S39" s="142">
        <f>AVERAGE(S38:S38)</f>
        <v>-7.2584714397788391E-3</v>
      </c>
      <c r="T39" s="118">
        <f>AVERAGE(T37:U37)</f>
        <v>-5.1673159289415516E-2</v>
      </c>
      <c r="U39" s="142">
        <f>AVERAGE(U38:U38)</f>
        <v>-1.0582256663816406E-2</v>
      </c>
      <c r="V39" s="118">
        <f>AVERAGE(V37:W37)</f>
        <v>0.4592369023794447</v>
      </c>
      <c r="W39" s="142">
        <f>AVERAGE(W38:W38)</f>
        <v>6.5699127665156606E-3</v>
      </c>
      <c r="X39" s="118">
        <f>AVERAGE(X37:Y37)</f>
        <v>-0.49144834254505554</v>
      </c>
      <c r="Y39" s="142">
        <f>AVERAGE(Y38:Y38)</f>
        <v>-2.694343983251401E-3</v>
      </c>
      <c r="Z39" s="118">
        <f>AVERAGE(Z37:AA37)</f>
        <v>-0.30246491909649098</v>
      </c>
      <c r="AA39" s="142">
        <f>AVERAGE(AA38:AA38)</f>
        <v>-6.1942436841386644E-2</v>
      </c>
      <c r="AB39" s="118">
        <f>AVERAGE(AB37:AC37)</f>
        <v>0.83618630222514412</v>
      </c>
      <c r="AC39" s="142">
        <f>AVERAGE(AC38:AC38)</f>
        <v>1.1962608043278169E-2</v>
      </c>
      <c r="AD39" s="118">
        <f>AVERAGE(AD37:AE37)</f>
        <v>0.21876627425316997</v>
      </c>
      <c r="AE39" s="142">
        <f>AVERAGE(AE38:AE38)</f>
        <v>1.1993765035809756E-3</v>
      </c>
      <c r="AF39" s="118">
        <f>AVERAGE(AF37:AG37)</f>
        <v>-0.29977278502277294</v>
      </c>
      <c r="AG39" s="142">
        <f>AVERAGE(AG38:AG38)</f>
        <v>-6.1391108954080058E-2</v>
      </c>
      <c r="AH39" s="118">
        <f>AVERAGE(AH37:AI37)</f>
        <v>0.81248239242785303</v>
      </c>
      <c r="AI39" s="142">
        <f>AVERAGE(AI38:AI38)</f>
        <v>1.1623496315133805E-2</v>
      </c>
      <c r="AJ39" s="118">
        <f>AVERAGE(AJ37:AK37)</f>
        <v>-0.85652679035317192</v>
      </c>
      <c r="AK39" s="142">
        <f>AVERAGE(AK38:AK38)</f>
        <v>-4.6958705611467753E-3</v>
      </c>
      <c r="AL39" s="118">
        <f>AVERAGE(AL37:AM37)</f>
        <v>-0.76761233620772718</v>
      </c>
      <c r="AM39" s="142">
        <f>AVERAGE(AM38:AM38)</f>
        <v>-0.1572009699380969</v>
      </c>
      <c r="AN39" s="118">
        <f>AVERAGE(AN37:AO37)</f>
        <v>-0.6650041472165924</v>
      </c>
      <c r="AO39" s="142">
        <f>AVERAGE(AO38:AO38)</f>
        <v>-9.5136501747724225E-3</v>
      </c>
      <c r="AP39" s="118">
        <f>AVERAGE(AP37:AQ37)</f>
        <v>-1.3363098648139839</v>
      </c>
      <c r="AQ39" s="142">
        <f>AVERAGE(AQ38:AQ38)</f>
        <v>-7.3262602237608764E-3</v>
      </c>
    </row>
    <row r="40" spans="1:43" x14ac:dyDescent="0.3">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c r="AH40" s="118" t="e">
        <f>STDEV(AH37:AI37)</f>
        <v>#DIV/0!</v>
      </c>
      <c r="AI40" s="142" t="e">
        <f>STDEV(AI38:AI38)</f>
        <v>#DIV/0!</v>
      </c>
      <c r="AJ40" s="118" t="e">
        <f>STDEV(AJ37:AK37)</f>
        <v>#DIV/0!</v>
      </c>
      <c r="AK40" s="142" t="e">
        <f>STDEV(AK38:AK38)</f>
        <v>#DIV/0!</v>
      </c>
      <c r="AL40" s="118" t="e">
        <f>STDEV(AL37:AM37)</f>
        <v>#DIV/0!</v>
      </c>
      <c r="AM40" s="142" t="e">
        <f>STDEV(AM38:AM38)</f>
        <v>#DIV/0!</v>
      </c>
      <c r="AN40" s="118" t="e">
        <f>STDEV(AN37:AO37)</f>
        <v>#DIV/0!</v>
      </c>
      <c r="AO40" s="142" t="e">
        <f>STDEV(AO38:AO38)</f>
        <v>#DIV/0!</v>
      </c>
      <c r="AP40" s="118" t="e">
        <f>STDEV(AP37:AQ37)</f>
        <v>#DIV/0!</v>
      </c>
      <c r="AQ40" s="142" t="e">
        <f>STDEV(AQ38:AQ38)</f>
        <v>#DIV/0!</v>
      </c>
    </row>
    <row r="41" spans="1:43" x14ac:dyDescent="0.3">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c r="AH41" s="118"/>
      <c r="AI41" s="142"/>
      <c r="AJ41" s="118"/>
      <c r="AK41" s="142"/>
      <c r="AL41" s="118"/>
      <c r="AM41" s="142"/>
      <c r="AN41" s="118"/>
      <c r="AO41" s="142"/>
      <c r="AP41" s="118"/>
      <c r="AQ41" s="142"/>
    </row>
    <row r="42" spans="1:43" x14ac:dyDescent="0.3">
      <c r="A42" s="7" t="s">
        <v>43</v>
      </c>
      <c r="B42" s="118"/>
      <c r="C42" s="141">
        <f>MOD(C9-$C32,360)</f>
        <v>54.951728213566582</v>
      </c>
      <c r="D42" s="118"/>
      <c r="E42" s="141">
        <f>MOD(E9-$C32,360)</f>
        <v>162.45192391479367</v>
      </c>
      <c r="F42" s="118"/>
      <c r="G42" s="141">
        <f>MOD(G9-$C32,360)</f>
        <v>220.2511466007812</v>
      </c>
      <c r="H42" s="118"/>
      <c r="I42" s="141">
        <f>MOD(I9-$C32,360)</f>
        <v>57.154862150341728</v>
      </c>
      <c r="J42" s="118"/>
      <c r="K42" s="141">
        <f>MOD(K9-$C32,360)</f>
        <v>162.41983389780671</v>
      </c>
      <c r="L42" s="118"/>
      <c r="M42" s="141">
        <f>MOD(M9-$C32,360)</f>
        <v>220.08325818203994</v>
      </c>
      <c r="N42" s="118"/>
      <c r="O42" s="141">
        <f>MOD(O9-$C32,360)</f>
        <v>53.003394575014113</v>
      </c>
      <c r="P42" s="118"/>
      <c r="Q42" s="141">
        <f>MOD(Q9-$C32,360)</f>
        <v>162.26445159955915</v>
      </c>
      <c r="R42" s="118"/>
      <c r="S42" s="141">
        <f>MOD(S9-$C32,360)</f>
        <v>220.04173830717605</v>
      </c>
      <c r="T42" s="118"/>
      <c r="U42" s="141">
        <f>MOD(U9-$C32,360)</f>
        <v>51.168602766814786</v>
      </c>
      <c r="V42" s="118"/>
      <c r="W42" s="141">
        <f>MOD(W9-$C32,360)</f>
        <v>162.19643362690022</v>
      </c>
      <c r="X42" s="118"/>
      <c r="Y42" s="141">
        <f>MOD(Y9-$C32,360)</f>
        <v>220.19290648864228</v>
      </c>
      <c r="Z42" s="118"/>
      <c r="AA42" s="141">
        <f>MOD(AA9-$C32,360)</f>
        <v>57.154862150341728</v>
      </c>
      <c r="AB42" s="118"/>
      <c r="AC42" s="141">
        <f>MOD(AC9-$C32,360)</f>
        <v>163.03599306079531</v>
      </c>
      <c r="AD42" s="118"/>
      <c r="AE42" s="141">
        <f>MOD(AE9-$C32,360)</f>
        <v>220.1911544930897</v>
      </c>
      <c r="AF42" s="118"/>
      <c r="AG42" s="141">
        <f>MOD(AG9-$C32,360)</f>
        <v>57.913607478081872</v>
      </c>
      <c r="AH42" s="118"/>
      <c r="AI42" s="141">
        <f>MOD(AI9-$C32,360)</f>
        <v>162.42536144017629</v>
      </c>
      <c r="AJ42" s="118"/>
      <c r="AK42" s="141">
        <f>MOD(AK9-$C32,360)</f>
        <v>219.96220001602089</v>
      </c>
      <c r="AL42" s="118"/>
      <c r="AM42" s="141">
        <f>MOD(AM9-$C32,360)</f>
        <v>55.442336636564335</v>
      </c>
      <c r="AN42" s="118"/>
      <c r="AO42" s="141">
        <f>MOD(AO9-$C32,360)</f>
        <v>162.9801619199327</v>
      </c>
      <c r="AP42" s="118"/>
      <c r="AQ42" s="141">
        <f>MOD(AQ9-$C32,360)</f>
        <v>220.28242981999722</v>
      </c>
    </row>
    <row r="43" spans="1:43" x14ac:dyDescent="0.3">
      <c r="A43" t="s">
        <v>55</v>
      </c>
      <c r="B43" s="118"/>
      <c r="C43" s="141">
        <f>C42-C17</f>
        <v>-0.12827178643341597</v>
      </c>
      <c r="D43" s="118"/>
      <c r="E43" s="141">
        <f>E42-E17</f>
        <v>1.4519239147936673</v>
      </c>
      <c r="F43" s="118"/>
      <c r="G43" s="141">
        <f>G42-G17</f>
        <v>-0.74885339921880245</v>
      </c>
      <c r="H43" s="118"/>
      <c r="I43" s="141">
        <f>I42-I17</f>
        <v>2.0748621503417297</v>
      </c>
      <c r="J43" s="118"/>
      <c r="K43" s="141">
        <f>K42-K17</f>
        <v>1.4198338978067113</v>
      </c>
      <c r="L43" s="118"/>
      <c r="M43" s="141">
        <f>M42-M17</f>
        <v>-0.91674181796005882</v>
      </c>
      <c r="N43" s="118"/>
      <c r="O43" s="141">
        <f>O42-O17</f>
        <v>-2.0766054249858854</v>
      </c>
      <c r="P43" s="118"/>
      <c r="Q43" s="141">
        <f>Q42-Q17</f>
        <v>1.2644515995591519</v>
      </c>
      <c r="R43" s="118"/>
      <c r="S43" s="141">
        <f>S42-S17</f>
        <v>-0.95826169282395313</v>
      </c>
      <c r="T43" s="118"/>
      <c r="U43" s="141">
        <f>U42-U17</f>
        <v>-3.9113972331852125</v>
      </c>
      <c r="V43" s="118"/>
      <c r="W43" s="141">
        <f>W42-W17</f>
        <v>1.196433626900216</v>
      </c>
      <c r="X43" s="118"/>
      <c r="Y43" s="141">
        <f>Y42-Y17</f>
        <v>-0.80709351135772067</v>
      </c>
      <c r="Z43" s="118"/>
      <c r="AA43" s="141">
        <f>AA42-AA17</f>
        <v>2.0748621503417297</v>
      </c>
      <c r="AB43" s="118"/>
      <c r="AC43" s="141">
        <f>AC42-AC17</f>
        <v>2.0359930607953061</v>
      </c>
      <c r="AD43" s="118"/>
      <c r="AE43" s="141">
        <f>AE42-AE17</f>
        <v>-0.80884550691030199</v>
      </c>
      <c r="AF43" s="118"/>
      <c r="AG43" s="141">
        <f>AG42-AG17</f>
        <v>2.8336074780818734</v>
      </c>
      <c r="AH43" s="118"/>
      <c r="AI43" s="141">
        <f>AI42-AI17</f>
        <v>1.4253614401762889</v>
      </c>
      <c r="AJ43" s="118"/>
      <c r="AK43" s="141">
        <f>AK42-AK17</f>
        <v>-1.037799983979113</v>
      </c>
      <c r="AL43" s="118"/>
      <c r="AM43" s="141">
        <f>AM42-AM17</f>
        <v>0.36233663656433635</v>
      </c>
      <c r="AN43" s="118"/>
      <c r="AO43" s="141">
        <f>AO42-AO17</f>
        <v>1.9801619199326979</v>
      </c>
      <c r="AP43" s="118"/>
      <c r="AQ43" s="141">
        <f>AQ42-AQ17</f>
        <v>-0.71757018000278094</v>
      </c>
    </row>
    <row r="44" spans="1:43" x14ac:dyDescent="0.3">
      <c r="A44" t="s">
        <v>56</v>
      </c>
      <c r="B44" s="118">
        <f>AVERAGE(B43:C43)</f>
        <v>-0.12827178643341597</v>
      </c>
      <c r="C44" s="141"/>
      <c r="D44" s="118">
        <f>AVERAGE(D43:E43)</f>
        <v>1.4519239147936673</v>
      </c>
      <c r="E44" s="141"/>
      <c r="F44" s="118">
        <f>AVERAGE(F43:G43)</f>
        <v>-0.74885339921880245</v>
      </c>
      <c r="G44" s="141"/>
      <c r="H44" s="118">
        <f>AVERAGE(H43:I43)</f>
        <v>2.0748621503417297</v>
      </c>
      <c r="I44" s="141"/>
      <c r="J44" s="118">
        <f>AVERAGE(J43:K43)</f>
        <v>1.4198338978067113</v>
      </c>
      <c r="K44" s="141"/>
      <c r="L44" s="118">
        <f>AVERAGE(L43:M43)</f>
        <v>-0.91674181796005882</v>
      </c>
      <c r="M44" s="141"/>
      <c r="N44" s="118">
        <f>AVERAGE(N43:O43)</f>
        <v>-2.0766054249858854</v>
      </c>
      <c r="O44" s="141"/>
      <c r="P44" s="118">
        <f>AVERAGE(P43:Q43)</f>
        <v>1.2644515995591519</v>
      </c>
      <c r="Q44" s="141"/>
      <c r="R44" s="118">
        <f>AVERAGE(R43:S43)</f>
        <v>-0.95826169282395313</v>
      </c>
      <c r="S44" s="141"/>
      <c r="T44" s="118">
        <f>AVERAGE(T43:U43)</f>
        <v>-3.9113972331852125</v>
      </c>
      <c r="U44" s="141"/>
      <c r="V44" s="118">
        <f>AVERAGE(V43:W43)</f>
        <v>1.196433626900216</v>
      </c>
      <c r="W44" s="141"/>
      <c r="X44" s="118">
        <f>AVERAGE(X43:Y43)</f>
        <v>-0.80709351135772067</v>
      </c>
      <c r="Y44" s="141"/>
      <c r="Z44" s="118">
        <f>AVERAGE(Z43:AA43)</f>
        <v>2.0748621503417297</v>
      </c>
      <c r="AA44" s="141"/>
      <c r="AB44" s="118">
        <f>AVERAGE(AB43:AC43)</f>
        <v>2.0359930607953061</v>
      </c>
      <c r="AC44" s="141"/>
      <c r="AD44" s="118">
        <f>AVERAGE(AD43:AE43)</f>
        <v>-0.80884550691030199</v>
      </c>
      <c r="AE44" s="141"/>
      <c r="AF44" s="118">
        <f>AVERAGE(AF43:AG43)</f>
        <v>2.8336074780818734</v>
      </c>
      <c r="AG44" s="141"/>
      <c r="AH44" s="118">
        <f>AVERAGE(AH43:AI43)</f>
        <v>1.4253614401762889</v>
      </c>
      <c r="AI44" s="141"/>
      <c r="AJ44" s="118">
        <f>AVERAGE(AJ43:AK43)</f>
        <v>-1.037799983979113</v>
      </c>
      <c r="AK44" s="141"/>
      <c r="AL44" s="118">
        <f>AVERAGE(AL43:AM43)</f>
        <v>0.36233663656433635</v>
      </c>
      <c r="AM44" s="141"/>
      <c r="AN44" s="118">
        <f>AVERAGE(AN43:AO43)</f>
        <v>1.9801619199326979</v>
      </c>
      <c r="AO44" s="141"/>
      <c r="AP44" s="118">
        <f>AVERAGE(AP43:AQ43)</f>
        <v>-0.71757018000278094</v>
      </c>
      <c r="AQ44" s="141"/>
    </row>
    <row r="45" spans="1:43" x14ac:dyDescent="0.3">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c r="AH45" s="118" t="e">
        <f>STDEV(AH43:AI43)</f>
        <v>#DIV/0!</v>
      </c>
      <c r="AI45" s="141"/>
      <c r="AJ45" s="118" t="e">
        <f>STDEV(AJ43:AK43)</f>
        <v>#DIV/0!</v>
      </c>
      <c r="AK45" s="141"/>
      <c r="AL45" s="118" t="e">
        <f>STDEV(AL43:AM43)</f>
        <v>#DIV/0!</v>
      </c>
      <c r="AM45" s="141"/>
      <c r="AN45" s="118" t="e">
        <f>STDEV(AN43:AO43)</f>
        <v>#DIV/0!</v>
      </c>
      <c r="AO45" s="141"/>
      <c r="AP45" s="118" t="e">
        <f>STDEV(AP43:AQ43)</f>
        <v>#DIV/0!</v>
      </c>
      <c r="AQ45" s="141"/>
    </row>
    <row r="46" spans="1:43" x14ac:dyDescent="0.3">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c r="AH46" s="118"/>
      <c r="AI46" s="141"/>
      <c r="AJ46" s="118"/>
      <c r="AK46" s="141"/>
      <c r="AL46" s="118"/>
      <c r="AM46" s="141"/>
      <c r="AN46" s="118"/>
      <c r="AO46" s="141"/>
      <c r="AP46" s="118"/>
      <c r="AQ46" s="141"/>
    </row>
    <row r="47" spans="1:43" x14ac:dyDescent="0.3">
      <c r="A47" t="s">
        <v>44</v>
      </c>
      <c r="B47" s="72">
        <f>-C36*SIN((C42)/180*PI())</f>
        <v>-3.8530988936947148</v>
      </c>
      <c r="C47" s="72">
        <f>C36*COS((C42)/180*PI())</f>
        <v>2.7028095915864236</v>
      </c>
      <c r="D47" s="72">
        <f>-E36*SIN((E42)/180*PI())</f>
        <v>-21.303462632980793</v>
      </c>
      <c r="E47" s="72">
        <f>E36*COS((E42)/180*PI())</f>
        <v>-67.368791304856629</v>
      </c>
      <c r="F47" s="72">
        <f>-G36*SIN((G42)/180*PI())</f>
        <v>117.49059654270675</v>
      </c>
      <c r="G47" s="72">
        <f>G36*COS((G42)/180*PI())</f>
        <v>-138.7798659859294</v>
      </c>
      <c r="H47" s="72">
        <f>-I36*SIN((I42)/180*PI())</f>
        <v>-3.8482888316488038</v>
      </c>
      <c r="I47" s="72">
        <f>I36*COS((I42)/180*PI())</f>
        <v>2.4843459291320125</v>
      </c>
      <c r="J47" s="72">
        <f>-K36*SIN((K42)/180*PI())</f>
        <v>-21.344522448258456</v>
      </c>
      <c r="K47" s="72">
        <f>K36*COS((K42)/180*PI())</f>
        <v>-67.367363969827892</v>
      </c>
      <c r="L47" s="72">
        <f>-M36*SIN((M42)/180*PI())</f>
        <v>117.33716325950741</v>
      </c>
      <c r="M47" s="72">
        <f>M36*COS((M42)/180*PI())</f>
        <v>-139.42502710253004</v>
      </c>
      <c r="N47" s="72">
        <f>-O36*SIN((O42)/180*PI())</f>
        <v>-4.1614902066831601</v>
      </c>
      <c r="O47" s="72">
        <f>O36*COS((O42)/180*PI())</f>
        <v>3.135521259183065</v>
      </c>
      <c r="P47" s="72">
        <f>-Q36*SIN((Q42)/180*PI())</f>
        <v>-21.549236999045483</v>
      </c>
      <c r="Q47" s="72">
        <f>Q36*COS((Q42)/180*PI())</f>
        <v>-67.378324011727585</v>
      </c>
      <c r="R47" s="72">
        <f>-S36*SIN((S42)/180*PI())</f>
        <v>116.49446142613147</v>
      </c>
      <c r="S47" s="72">
        <f>S36*COS((S42)/180*PI())</f>
        <v>-138.62747953550453</v>
      </c>
      <c r="T47" s="72">
        <f>-U36*SIN((U42)/180*PI())</f>
        <v>-3.7635769321950709</v>
      </c>
      <c r="U47" s="72">
        <f>U36*COS((U42)/180*PI())</f>
        <v>3.0293906511408619</v>
      </c>
      <c r="V47" s="72">
        <f>-W36*SIN((W42)/180*PI())</f>
        <v>-21.512658197887024</v>
      </c>
      <c r="W47" s="72">
        <f>W36*COS((W42)/180*PI())</f>
        <v>-66.989758581040121</v>
      </c>
      <c r="X47" s="72">
        <f>-Y36*SIN((Y42)/180*PI())</f>
        <v>117.39707061821086</v>
      </c>
      <c r="Y47" s="72">
        <f>Y36*COS((Y42)/180*PI())</f>
        <v>-138.9555647549812</v>
      </c>
      <c r="Z47" s="72">
        <f>-AA36*SIN((AA42)/180*PI())</f>
        <v>-3.8482888316488038</v>
      </c>
      <c r="AA47" s="72">
        <f>AA36*COS((AA42)/180*PI())</f>
        <v>2.4843459291320125</v>
      </c>
      <c r="AB47" s="72">
        <f>-AC36*SIN((AC42)/180*PI())</f>
        <v>-20.638760661691478</v>
      </c>
      <c r="AC47" s="72">
        <f>AC36*COS((AC42)/180*PI())</f>
        <v>-67.658329944896806</v>
      </c>
      <c r="AD47" s="72">
        <f>-AE36*SIN((AE42)/180*PI())</f>
        <v>117.85115129974174</v>
      </c>
      <c r="AE47" s="72">
        <f>AE36*COS((AE42)/180*PI())</f>
        <v>-139.5016843369846</v>
      </c>
      <c r="AF47" s="72">
        <f>-AG36*SIN((AG42)/180*PI())</f>
        <v>-3.883130559625624</v>
      </c>
      <c r="AG47" s="72">
        <f>AG36*COS((AG42)/180*PI())</f>
        <v>2.4345982750773274</v>
      </c>
      <c r="AH47" s="72">
        <f>-AI36*SIN((AI42)/180*PI())</f>
        <v>-21.351488406294138</v>
      </c>
      <c r="AI47" s="72">
        <f>AI36*COS((AI42)/180*PI())</f>
        <v>-67.411935953029172</v>
      </c>
      <c r="AJ47" s="72">
        <f>-AK36*SIN((AK42)/180*PI())</f>
        <v>116.60212033439812</v>
      </c>
      <c r="AK47" s="72">
        <f>AK36*COS((AK42)/180*PI())</f>
        <v>-139.14732551703713</v>
      </c>
      <c r="AL47" s="72">
        <f>-AM36*SIN((AM42)/180*PI())</f>
        <v>-3.389251097065018</v>
      </c>
      <c r="AM47" s="72">
        <f>AM36*COS((AM42)/180*PI())</f>
        <v>2.3343934167867237</v>
      </c>
      <c r="AN47" s="72">
        <f>-AO36*SIN((AO42)/180*PI())</f>
        <v>-20.265277003712288</v>
      </c>
      <c r="AO47" s="72">
        <f>AO36*COS((AO42)/180*PI())</f>
        <v>-66.202743135747383</v>
      </c>
      <c r="AP47" s="72">
        <f>-AQ36*SIN((AQ42)/180*PI())</f>
        <v>117.06779190823521</v>
      </c>
      <c r="AQ47" s="72">
        <f>AQ36*COS((AQ42)/180*PI())</f>
        <v>-138.12744833341705</v>
      </c>
    </row>
    <row r="48" spans="1:43" s="10" customFormat="1" x14ac:dyDescent="0.3">
      <c r="A48" t="s">
        <v>45</v>
      </c>
      <c r="B48" s="72">
        <f t="shared" ref="B48:AE48" si="6">B47-B18</f>
        <v>0.15072725614146876</v>
      </c>
      <c r="C48" s="72">
        <f t="shared" si="6"/>
        <v>-9.2376477691964443E-2</v>
      </c>
      <c r="D48" s="72">
        <f t="shared" si="6"/>
        <v>1.4537513635744546</v>
      </c>
      <c r="E48" s="72">
        <f t="shared" si="6"/>
        <v>-1.2770428704643706</v>
      </c>
      <c r="F48" s="72">
        <f t="shared" si="6"/>
        <v>-2.174570345161797</v>
      </c>
      <c r="G48" s="72">
        <f t="shared" si="6"/>
        <v>-1.1208385532958118</v>
      </c>
      <c r="H48" s="72">
        <f t="shared" si="6"/>
        <v>0.15553731818737981</v>
      </c>
      <c r="I48" s="72">
        <f t="shared" si="6"/>
        <v>-0.31084014014637562</v>
      </c>
      <c r="J48" s="72">
        <f t="shared" si="6"/>
        <v>1.4126915482967917</v>
      </c>
      <c r="K48" s="72">
        <f t="shared" si="6"/>
        <v>-1.2756155354356338</v>
      </c>
      <c r="L48" s="72">
        <f t="shared" si="6"/>
        <v>-2.3280036283611452</v>
      </c>
      <c r="M48" s="72">
        <f t="shared" si="6"/>
        <v>-1.7659996698964449</v>
      </c>
      <c r="N48" s="72">
        <f t="shared" si="6"/>
        <v>-0.15766405684697649</v>
      </c>
      <c r="O48" s="72">
        <f t="shared" si="6"/>
        <v>0.34033518990467693</v>
      </c>
      <c r="P48" s="72">
        <f t="shared" si="6"/>
        <v>1.2079769975097641</v>
      </c>
      <c r="Q48" s="72">
        <f t="shared" si="6"/>
        <v>-1.2865755773353271</v>
      </c>
      <c r="R48" s="72">
        <f t="shared" si="6"/>
        <v>-3.1707054617370858</v>
      </c>
      <c r="S48" s="72">
        <f t="shared" si="6"/>
        <v>-0.96845210287094119</v>
      </c>
      <c r="T48" s="72">
        <f t="shared" si="6"/>
        <v>0.24024921764111262</v>
      </c>
      <c r="U48" s="72">
        <f t="shared" si="6"/>
        <v>0.23420458186247384</v>
      </c>
      <c r="V48" s="72">
        <f t="shared" si="6"/>
        <v>1.2445557986682232</v>
      </c>
      <c r="W48" s="72">
        <f t="shared" si="6"/>
        <v>-0.89801014664786294</v>
      </c>
      <c r="X48" s="72">
        <f t="shared" si="6"/>
        <v>-2.2680962696576898</v>
      </c>
      <c r="Y48" s="72">
        <f t="shared" si="6"/>
        <v>-1.2965373223476035</v>
      </c>
      <c r="Z48" s="72">
        <f t="shared" si="6"/>
        <v>0.15553731818737981</v>
      </c>
      <c r="AA48" s="72">
        <f t="shared" si="6"/>
        <v>-0.31084014014637562</v>
      </c>
      <c r="AB48" s="72">
        <f t="shared" si="6"/>
        <v>2.1184533348637693</v>
      </c>
      <c r="AC48" s="72">
        <f t="shared" si="6"/>
        <v>-1.5665815105045482</v>
      </c>
      <c r="AD48" s="72">
        <f t="shared" si="6"/>
        <v>-1.8140155881268072</v>
      </c>
      <c r="AE48" s="72">
        <f t="shared" si="6"/>
        <v>-1.8426569043510028</v>
      </c>
      <c r="AF48" s="72">
        <f t="shared" ref="AF48" si="7">AF47-AF18</f>
        <v>0.12069559021055953</v>
      </c>
      <c r="AG48" s="72">
        <f t="shared" ref="AG48" si="8">AG47-AG18</f>
        <v>-0.36058779420106069</v>
      </c>
      <c r="AH48" s="72">
        <f t="shared" ref="AH48" si="9">AH47-AH18</f>
        <v>1.4057255902611097</v>
      </c>
      <c r="AI48" s="72">
        <f t="shared" ref="AI48" si="10">AI47-AI18</f>
        <v>-1.3201875186369136</v>
      </c>
      <c r="AJ48" s="72">
        <f t="shared" ref="AJ48" si="11">AJ47-AJ18</f>
        <v>-3.0630465534704285</v>
      </c>
      <c r="AK48" s="72">
        <f t="shared" ref="AK48" si="12">AK47-AK18</f>
        <v>-1.4882980844035387</v>
      </c>
      <c r="AL48" s="72">
        <f t="shared" ref="AL48" si="13">AL47-AL18</f>
        <v>0.61457505277116553</v>
      </c>
      <c r="AM48" s="72">
        <f t="shared" ref="AM48" si="14">AM47-AM18</f>
        <v>-0.46079265249166435</v>
      </c>
      <c r="AN48" s="72">
        <f t="shared" ref="AN48" si="15">AN47-AN18</f>
        <v>2.4919369928429589</v>
      </c>
      <c r="AO48" s="72">
        <f t="shared" ref="AO48" si="16">AO47-AO18</f>
        <v>-0.1109947013551249</v>
      </c>
      <c r="AP48" s="72">
        <f t="shared" ref="AP48" si="17">AP47-AP18</f>
        <v>-2.5973749796333436</v>
      </c>
      <c r="AQ48" s="72">
        <f t="shared" ref="AQ48" si="18">AQ47-AQ18</f>
        <v>-0.46842090078345677</v>
      </c>
    </row>
    <row r="49" spans="1:43" x14ac:dyDescent="0.3">
      <c r="A49" t="s">
        <v>46</v>
      </c>
      <c r="B49" s="118">
        <f t="shared" ref="B49:AE49" si="19">B48^2</f>
        <v>2.2718705743935932E-2</v>
      </c>
      <c r="C49" s="118">
        <f t="shared" si="19"/>
        <v>8.5334136307740043E-3</v>
      </c>
      <c r="D49" s="118">
        <f t="shared" si="19"/>
        <v>2.113393027094586</v>
      </c>
      <c r="E49" s="118">
        <f t="shared" si="19"/>
        <v>1.6308384930038793</v>
      </c>
      <c r="F49" s="118">
        <f t="shared" si="19"/>
        <v>4.7287561860570975</v>
      </c>
      <c r="G49" s="118">
        <f t="shared" si="19"/>
        <v>1.2562790625542484</v>
      </c>
      <c r="H49" s="118">
        <f t="shared" si="19"/>
        <v>2.4191857348922232E-2</v>
      </c>
      <c r="I49" s="118">
        <f t="shared" si="19"/>
        <v>9.6621592726218439E-2</v>
      </c>
      <c r="J49" s="118">
        <f t="shared" si="19"/>
        <v>1.9956974106291865</v>
      </c>
      <c r="K49" s="118">
        <f t="shared" si="19"/>
        <v>1.6271949942447386</v>
      </c>
      <c r="L49" s="118">
        <f t="shared" si="19"/>
        <v>5.4196008936626567</v>
      </c>
      <c r="M49" s="118">
        <f t="shared" si="19"/>
        <v>3.1187548340743523</v>
      </c>
      <c r="N49" s="118">
        <f t="shared" si="19"/>
        <v>2.4857954821446634E-2</v>
      </c>
      <c r="O49" s="118">
        <f t="shared" si="19"/>
        <v>0.1158280414874525</v>
      </c>
      <c r="P49" s="118">
        <f t="shared" si="19"/>
        <v>1.4592084265127045</v>
      </c>
      <c r="Q49" s="118">
        <f t="shared" si="19"/>
        <v>1.6552767161957302</v>
      </c>
      <c r="R49" s="118">
        <f t="shared" si="19"/>
        <v>10.053373125089387</v>
      </c>
      <c r="S49" s="118">
        <f t="shared" si="19"/>
        <v>0.93789947555514808</v>
      </c>
      <c r="T49" s="118">
        <f t="shared" si="19"/>
        <v>5.7719686577166703E-2</v>
      </c>
      <c r="U49" s="118">
        <f t="shared" si="19"/>
        <v>5.4851786165376212E-2</v>
      </c>
      <c r="V49" s="118">
        <f t="shared" si="19"/>
        <v>1.5489191359986989</v>
      </c>
      <c r="W49" s="118">
        <f t="shared" si="19"/>
        <v>0.80642222348251635</v>
      </c>
      <c r="X49" s="118">
        <f t="shared" si="19"/>
        <v>5.1442606884351285</v>
      </c>
      <c r="Y49" s="118">
        <f t="shared" si="19"/>
        <v>1.6810090282402936</v>
      </c>
      <c r="Z49" s="118">
        <f t="shared" si="19"/>
        <v>2.4191857348922232E-2</v>
      </c>
      <c r="AA49" s="118">
        <f t="shared" si="19"/>
        <v>9.6621592726218439E-2</v>
      </c>
      <c r="AB49" s="118">
        <f t="shared" si="19"/>
        <v>4.4878445319954254</v>
      </c>
      <c r="AC49" s="118">
        <f t="shared" si="19"/>
        <v>2.4541776290547119</v>
      </c>
      <c r="AD49" s="118">
        <f t="shared" si="19"/>
        <v>3.2906525539670461</v>
      </c>
      <c r="AE49" s="118">
        <f t="shared" si="19"/>
        <v>3.3953844671524207</v>
      </c>
      <c r="AF49" s="118">
        <f t="shared" ref="AF49" si="20">AF48^2</f>
        <v>1.4567425496275314E-2</v>
      </c>
      <c r="AG49" s="118">
        <f t="shared" ref="AG49" si="21">AG48^2</f>
        <v>0.1300235573267865</v>
      </c>
      <c r="AH49" s="118">
        <f t="shared" ref="AH49" si="22">AH48^2</f>
        <v>1.9760644351149452</v>
      </c>
      <c r="AI49" s="118">
        <f t="shared" ref="AI49" si="23">AI48^2</f>
        <v>1.7428950843646911</v>
      </c>
      <c r="AJ49" s="118">
        <f t="shared" ref="AJ49" si="24">AJ48^2</f>
        <v>9.382254188727071</v>
      </c>
      <c r="AK49" s="118">
        <f t="shared" ref="AK49" si="25">AK48^2</f>
        <v>2.215031188039243</v>
      </c>
      <c r="AL49" s="118">
        <f t="shared" ref="AL49" si="26">AL48^2</f>
        <v>0.3777024954886809</v>
      </c>
      <c r="AM49" s="118">
        <f t="shared" ref="AM49" si="27">AM48^2</f>
        <v>0.21232986859030373</v>
      </c>
      <c r="AN49" s="118">
        <f t="shared" ref="AN49" si="28">AN48^2</f>
        <v>6.209749976299209</v>
      </c>
      <c r="AO49" s="118">
        <f t="shared" ref="AO49" si="29">AO48^2</f>
        <v>1.2319823728913366E-2</v>
      </c>
      <c r="AP49" s="118">
        <f t="shared" ref="AP49" si="30">AP48^2</f>
        <v>6.7463567848253119</v>
      </c>
      <c r="AQ49" s="118">
        <f t="shared" ref="AQ49" si="31">AQ48^2</f>
        <v>0.21941814029078505</v>
      </c>
    </row>
    <row r="50" spans="1:43" s="10" customFormat="1" x14ac:dyDescent="0.3">
      <c r="A50" t="s">
        <v>47</v>
      </c>
      <c r="B50" s="72"/>
      <c r="C50" s="72">
        <f>SQRT(B49+C49)</f>
        <v>0.17678268969192074</v>
      </c>
      <c r="D50" s="72"/>
      <c r="E50" s="72">
        <f>SQRT(D49+E49)</f>
        <v>1.9350016847792317</v>
      </c>
      <c r="F50" s="72"/>
      <c r="G50" s="72">
        <f>SQRT(F49+G49)</f>
        <v>2.4464331686378324</v>
      </c>
      <c r="H50" s="72"/>
      <c r="I50" s="72">
        <f>SQRT(H49+I49)</f>
        <v>0.34758229252241934</v>
      </c>
      <c r="J50" s="72"/>
      <c r="K50" s="72">
        <f>SQRT(J49+K49)</f>
        <v>1.9033897143974285</v>
      </c>
      <c r="L50" s="72"/>
      <c r="M50" s="72">
        <f>SQRT(L49+M49)</f>
        <v>2.9220464965049766</v>
      </c>
      <c r="N50" s="72"/>
      <c r="O50" s="72">
        <f>SQRT(N49+O49)</f>
        <v>0.37508131959469687</v>
      </c>
      <c r="P50" s="72"/>
      <c r="Q50" s="72">
        <f>SQRT(P49+Q49)</f>
        <v>1.7647903962534572</v>
      </c>
      <c r="R50" s="72"/>
      <c r="S50" s="72">
        <f>SQRT(R49+S49)</f>
        <v>3.3153088243245961</v>
      </c>
      <c r="T50" s="72"/>
      <c r="U50" s="72">
        <f>SQRT(T49+U49)</f>
        <v>0.33551672498184487</v>
      </c>
      <c r="V50" s="72"/>
      <c r="W50" s="72">
        <f>SQRT(V49+W49)</f>
        <v>1.5347121422212098</v>
      </c>
      <c r="X50" s="72"/>
      <c r="Y50" s="72">
        <f>SQRT(X49+Y49)</f>
        <v>2.6125217160198728</v>
      </c>
      <c r="Z50" s="72"/>
      <c r="AA50" s="72">
        <f>SQRT(Z49+AA49)</f>
        <v>0.34758229252241934</v>
      </c>
      <c r="AB50" s="72"/>
      <c r="AC50" s="72">
        <f>SQRT(AB49+AC49)</f>
        <v>2.6347717474290135</v>
      </c>
      <c r="AD50" s="72"/>
      <c r="AE50" s="72">
        <f>SQRT(AD49+AE49)</f>
        <v>2.5857372297121506</v>
      </c>
      <c r="AF50" s="72"/>
      <c r="AG50" s="72">
        <f>SQRT(AF49+AG49)</f>
        <v>0.3802512101533167</v>
      </c>
      <c r="AH50" s="72"/>
      <c r="AI50" s="72">
        <f>SQRT(AH49+AI49)</f>
        <v>1.9284604013252737</v>
      </c>
      <c r="AJ50" s="72"/>
      <c r="AK50" s="72">
        <f>SQRT(AJ49+AK49)</f>
        <v>3.4054787294543938</v>
      </c>
      <c r="AL50" s="72"/>
      <c r="AM50" s="72">
        <f>SQRT(AL49+AM49)</f>
        <v>0.76813564171895099</v>
      </c>
      <c r="AN50" s="72"/>
      <c r="AO50" s="72">
        <f>SQRT(AN49+AO49)</f>
        <v>2.4944077052535181</v>
      </c>
      <c r="AP50" s="72"/>
      <c r="AQ50" s="72">
        <f>SQRT(AP49+AQ49)</f>
        <v>2.6392754545738679</v>
      </c>
    </row>
    <row r="51" spans="1:43" s="10" customFormat="1" x14ac:dyDescent="0.3">
      <c r="A51" t="s">
        <v>48</v>
      </c>
      <c r="B51" s="72"/>
      <c r="C51" s="77">
        <f>C50/C36</f>
        <v>3.7561045268247752E-2</v>
      </c>
      <c r="D51" s="72"/>
      <c r="E51" s="77">
        <f>E50/E36</f>
        <v>2.738590058353085E-2</v>
      </c>
      <c r="F51" s="72"/>
      <c r="G51" s="77">
        <f>G50/G36</f>
        <v>1.3454153330763078E-2</v>
      </c>
      <c r="H51" s="72"/>
      <c r="I51" s="77">
        <f>I50/I36</f>
        <v>7.5882464904920857E-2</v>
      </c>
      <c r="J51" s="72"/>
      <c r="K51" s="77">
        <f>K50/K36</f>
        <v>2.6934294677885762E-2</v>
      </c>
      <c r="L51" s="72"/>
      <c r="M51" s="77">
        <f>M50/M36</f>
        <v>1.6035039169919888E-2</v>
      </c>
      <c r="N51" s="72"/>
      <c r="O51" s="77">
        <f>O50/O36</f>
        <v>7.1985423314573915E-2</v>
      </c>
      <c r="P51" s="72"/>
      <c r="Q51" s="77">
        <f>Q50/Q36</f>
        <v>2.494740906570744E-2</v>
      </c>
      <c r="R51" s="72"/>
      <c r="S51" s="77">
        <f>S50/S36</f>
        <v>1.8308930067062509E-2</v>
      </c>
      <c r="T51" s="72"/>
      <c r="U51" s="77">
        <f>U50/U36</f>
        <v>6.9446083041754536E-2</v>
      </c>
      <c r="V51" s="72"/>
      <c r="W51" s="77">
        <f>W50/W36</f>
        <v>2.181251829593547E-2</v>
      </c>
      <c r="X51" s="72"/>
      <c r="Y51" s="77">
        <f>Y50/Y36</f>
        <v>1.4361731167754074E-2</v>
      </c>
      <c r="Z51" s="72"/>
      <c r="AA51" s="77">
        <f>AA50/AA36</f>
        <v>7.5882464904920857E-2</v>
      </c>
      <c r="AB51" s="72"/>
      <c r="AC51" s="77">
        <f>AC50/AC36</f>
        <v>3.7247862588629992E-2</v>
      </c>
      <c r="AD51" s="72"/>
      <c r="AE51" s="77">
        <f>AE50/AE36</f>
        <v>1.4159208730109054E-2</v>
      </c>
      <c r="AF51" s="72"/>
      <c r="AG51" s="77">
        <f>AG50/AG36</f>
        <v>8.2965821312702706E-2</v>
      </c>
      <c r="AH51" s="72"/>
      <c r="AI51" s="77">
        <f>AI50/AI36</f>
        <v>2.7271852664187902E-2</v>
      </c>
      <c r="AJ51" s="72"/>
      <c r="AK51" s="77">
        <f>AK50/AK36</f>
        <v>1.8758475142324389E-2</v>
      </c>
      <c r="AL51" s="72"/>
      <c r="AM51" s="77">
        <f>AM50/AM36</f>
        <v>0.18664964384208815</v>
      </c>
      <c r="AN51" s="72"/>
      <c r="AO51" s="77">
        <f>AO50/AO36</f>
        <v>3.602813395926905E-2</v>
      </c>
      <c r="AP51" s="72"/>
      <c r="AQ51" s="77">
        <f>AQ50/AQ36</f>
        <v>1.457650317743623E-2</v>
      </c>
    </row>
    <row r="52" spans="1:43" s="10" customFormat="1" x14ac:dyDescent="0.3">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c r="AN52" s="72"/>
      <c r="AO52" s="144"/>
      <c r="AP52" s="72"/>
      <c r="AQ52" s="144"/>
    </row>
    <row r="53" spans="1:43" s="10" customFormat="1" x14ac:dyDescent="0.3">
      <c r="A53" t="s">
        <v>89</v>
      </c>
      <c r="B53" s="72">
        <f>MEDIAN(B50:C50)</f>
        <v>0.17678268969192074</v>
      </c>
      <c r="C53" s="144"/>
      <c r="D53" s="72">
        <f>MEDIAN(D50:E50)</f>
        <v>1.9350016847792317</v>
      </c>
      <c r="E53" s="144"/>
      <c r="F53" s="72">
        <f>MEDIAN(F50:G50)</f>
        <v>2.4464331686378324</v>
      </c>
      <c r="G53" s="144"/>
      <c r="H53" s="72">
        <f>MEDIAN(H50:I50)</f>
        <v>0.34758229252241934</v>
      </c>
      <c r="I53" s="144"/>
      <c r="J53" s="72">
        <f>MEDIAN(J50:K50)</f>
        <v>1.9033897143974285</v>
      </c>
      <c r="K53" s="144"/>
      <c r="L53" s="72">
        <f>MEDIAN(L50:M50)</f>
        <v>2.9220464965049766</v>
      </c>
      <c r="M53" s="144"/>
      <c r="N53" s="72">
        <f>MEDIAN(N50:O50)</f>
        <v>0.37508131959469687</v>
      </c>
      <c r="O53" s="144"/>
      <c r="P53" s="72">
        <f>MEDIAN(P50:Q50)</f>
        <v>1.7647903962534572</v>
      </c>
      <c r="Q53" s="144"/>
      <c r="R53" s="72">
        <f>MEDIAN(R50:S50)</f>
        <v>3.3153088243245961</v>
      </c>
      <c r="S53" s="144"/>
      <c r="T53" s="72">
        <f>MEDIAN(T50:U50)</f>
        <v>0.33551672498184487</v>
      </c>
      <c r="U53" s="144"/>
      <c r="V53" s="72">
        <f>MEDIAN(V50:W50)</f>
        <v>1.5347121422212098</v>
      </c>
      <c r="W53" s="144"/>
      <c r="X53" s="72">
        <f>MEDIAN(X50:Y50)</f>
        <v>2.6125217160198728</v>
      </c>
      <c r="Y53" s="144"/>
      <c r="Z53" s="72">
        <f>MEDIAN(Z50:AA50)</f>
        <v>0.34758229252241934</v>
      </c>
      <c r="AA53" s="144"/>
      <c r="AB53" s="72">
        <f>MEDIAN(AB50:AC50)</f>
        <v>2.6347717474290135</v>
      </c>
      <c r="AC53" s="144"/>
      <c r="AD53" s="72">
        <f>MEDIAN(AD50:AE50)</f>
        <v>2.5857372297121506</v>
      </c>
      <c r="AE53" s="144"/>
      <c r="AF53" s="72">
        <f>MEDIAN(AF50:AG50)</f>
        <v>0.3802512101533167</v>
      </c>
      <c r="AG53" s="144"/>
      <c r="AH53" s="72">
        <f>MEDIAN(AH50:AI50)</f>
        <v>1.9284604013252737</v>
      </c>
      <c r="AI53" s="144"/>
      <c r="AJ53" s="72">
        <f>MEDIAN(AJ50:AK50)</f>
        <v>3.4054787294543938</v>
      </c>
      <c r="AK53" s="144"/>
      <c r="AL53" s="72">
        <f>MEDIAN(AL50:AM50)</f>
        <v>0.76813564171895099</v>
      </c>
      <c r="AM53" s="144"/>
      <c r="AN53" s="72">
        <f>MEDIAN(AN50:AO50)</f>
        <v>2.4944077052535181</v>
      </c>
      <c r="AO53" s="144"/>
      <c r="AP53" s="72">
        <f>MEDIAN(AP50:AQ50)</f>
        <v>2.6392754545738679</v>
      </c>
      <c r="AQ53" s="144"/>
    </row>
    <row r="54" spans="1:43" s="10" customFormat="1" x14ac:dyDescent="0.3">
      <c r="A54" t="s">
        <v>81</v>
      </c>
      <c r="B54" s="72">
        <f>AVERAGE(B50:C50)</f>
        <v>0.17678268969192074</v>
      </c>
      <c r="C54" s="144"/>
      <c r="D54" s="72">
        <f>AVERAGE(D50:E50)</f>
        <v>1.9350016847792317</v>
      </c>
      <c r="E54" s="144"/>
      <c r="F54" s="72">
        <f>AVERAGE(F50:G50)</f>
        <v>2.4464331686378324</v>
      </c>
      <c r="G54" s="144"/>
      <c r="H54" s="72">
        <f>AVERAGE(H50:I50)</f>
        <v>0.34758229252241934</v>
      </c>
      <c r="I54" s="144"/>
      <c r="J54" s="72">
        <f>AVERAGE(J50:K50)</f>
        <v>1.9033897143974285</v>
      </c>
      <c r="K54" s="144"/>
      <c r="L54" s="72">
        <f>AVERAGE(L50:M50)</f>
        <v>2.9220464965049766</v>
      </c>
      <c r="M54" s="144"/>
      <c r="N54" s="72">
        <f>AVERAGE(N50:O50)</f>
        <v>0.37508131959469687</v>
      </c>
      <c r="O54" s="144"/>
      <c r="P54" s="72">
        <f>AVERAGE(P50:Q50)</f>
        <v>1.7647903962534572</v>
      </c>
      <c r="Q54" s="144"/>
      <c r="R54" s="72">
        <f>AVERAGE(R50:S50)</f>
        <v>3.3153088243245961</v>
      </c>
      <c r="S54" s="144"/>
      <c r="T54" s="72">
        <f>AVERAGE(T50:U50)</f>
        <v>0.33551672498184487</v>
      </c>
      <c r="U54" s="144"/>
      <c r="V54" s="72">
        <f>AVERAGE(V50:W50)</f>
        <v>1.5347121422212098</v>
      </c>
      <c r="W54" s="144"/>
      <c r="X54" s="72">
        <f>AVERAGE(X50:Y50)</f>
        <v>2.6125217160198728</v>
      </c>
      <c r="Y54" s="144"/>
      <c r="Z54" s="72">
        <f>AVERAGE(Z50:AA50)</f>
        <v>0.34758229252241934</v>
      </c>
      <c r="AA54" s="144"/>
      <c r="AB54" s="72">
        <f>AVERAGE(AB50:AC50)</f>
        <v>2.6347717474290135</v>
      </c>
      <c r="AC54" s="144"/>
      <c r="AD54" s="72">
        <f>AVERAGE(AD50:AE50)</f>
        <v>2.5857372297121506</v>
      </c>
      <c r="AE54" s="144"/>
      <c r="AF54" s="72">
        <f>AVERAGE(AF50:AG50)</f>
        <v>0.3802512101533167</v>
      </c>
      <c r="AG54" s="144"/>
      <c r="AH54" s="72">
        <f>AVERAGE(AH50:AI50)</f>
        <v>1.9284604013252737</v>
      </c>
      <c r="AI54" s="144"/>
      <c r="AJ54" s="72">
        <f>AVERAGE(AJ50:AK50)</f>
        <v>3.4054787294543938</v>
      </c>
      <c r="AK54" s="144"/>
      <c r="AL54" s="72">
        <f>AVERAGE(AL50:AM50)</f>
        <v>0.76813564171895099</v>
      </c>
      <c r="AM54" s="144"/>
      <c r="AN54" s="72">
        <f>AVERAGE(AN50:AO50)</f>
        <v>2.4944077052535181</v>
      </c>
      <c r="AO54" s="144"/>
      <c r="AP54" s="72">
        <f>AVERAGE(AP50:AQ50)</f>
        <v>2.6392754545738679</v>
      </c>
      <c r="AQ54" s="144"/>
    </row>
    <row r="55" spans="1:43" s="10" customFormat="1" x14ac:dyDescent="0.3">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c r="AH55" s="72" t="e">
        <f>STDEV(AH50:AI50)</f>
        <v>#DIV/0!</v>
      </c>
      <c r="AI55" s="144"/>
      <c r="AJ55" s="72" t="e">
        <f>STDEV(AJ50:AK50)</f>
        <v>#DIV/0!</v>
      </c>
      <c r="AK55" s="144"/>
      <c r="AL55" s="72" t="e">
        <f>STDEV(AL50:AM50)</f>
        <v>#DIV/0!</v>
      </c>
      <c r="AM55" s="144"/>
      <c r="AN55" s="72" t="e">
        <f>STDEV(AN50:AO50)</f>
        <v>#DIV/0!</v>
      </c>
      <c r="AO55" s="144"/>
      <c r="AP55" s="72" t="e">
        <f>STDEV(AP50:AQ50)</f>
        <v>#DIV/0!</v>
      </c>
      <c r="AQ55" s="144"/>
    </row>
    <row r="56" spans="1:43" s="10" customFormat="1" x14ac:dyDescent="0.3">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c r="AH56" s="72"/>
      <c r="AI56" s="144"/>
      <c r="AJ56" s="72"/>
      <c r="AK56" s="144"/>
      <c r="AL56" s="72"/>
      <c r="AM56" s="144"/>
      <c r="AN56" s="72"/>
      <c r="AO56" s="144"/>
      <c r="AP56" s="72"/>
      <c r="AQ56" s="144"/>
    </row>
    <row r="57" spans="1:43" s="10" customFormat="1" x14ac:dyDescent="0.3">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row>
    <row r="58" spans="1:43" s="10" customFormat="1" x14ac:dyDescent="0.3">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row>
    <row r="59" spans="1:43" s="118" customFormat="1" x14ac:dyDescent="0.3">
      <c r="A59" s="359" t="s">
        <v>115</v>
      </c>
      <c r="B59" s="361">
        <f>AVERAGE(C36,I36,O36,U36,AA36,AG36,AM36)</f>
        <v>4.6582961347229501</v>
      </c>
      <c r="C59" s="362">
        <f>B59-C16</f>
        <v>-0.22470386527704989</v>
      </c>
      <c r="D59" s="361">
        <f t="shared" ref="D59" si="32">AVERAGE(E36,K36,Q36,W36,AC36,AI36,AO36)</f>
        <v>70.444010738359637</v>
      </c>
      <c r="E59" s="362">
        <f t="shared" ref="E59" si="33">D59-E16</f>
        <v>0.54401073835963132</v>
      </c>
      <c r="F59" s="361">
        <f t="shared" ref="F59" si="34">AVERAGE(G36,M36,S36,Y36,AE36,AK36,AQ36)</f>
        <v>181.75345173457967</v>
      </c>
      <c r="G59" s="362">
        <f t="shared" ref="G59" si="35">F59-G16</f>
        <v>-0.64654826542033561</v>
      </c>
      <c r="H59" s="365" t="s">
        <v>462</v>
      </c>
      <c r="I59" s="141"/>
      <c r="J59" s="302"/>
      <c r="L59" s="166"/>
      <c r="M59" s="141"/>
      <c r="N59" s="302"/>
      <c r="O59" s="141"/>
      <c r="P59" s="302"/>
      <c r="R59" s="166"/>
      <c r="S59" s="141"/>
      <c r="T59" s="302"/>
      <c r="U59" s="141"/>
      <c r="V59" s="302"/>
      <c r="X59" s="166"/>
      <c r="Y59" s="141"/>
      <c r="Z59" s="302"/>
      <c r="AA59" s="141"/>
      <c r="AB59" s="302"/>
      <c r="AD59" s="166"/>
      <c r="AE59" s="141"/>
      <c r="AF59" s="302"/>
      <c r="AG59" s="141"/>
      <c r="AH59" s="302"/>
      <c r="AJ59" s="166"/>
      <c r="AK59" s="141"/>
      <c r="AL59" s="302"/>
      <c r="AM59" s="141"/>
      <c r="AN59" s="302"/>
      <c r="AP59" s="166"/>
      <c r="AQ59" s="141"/>
    </row>
    <row r="60" spans="1:43" s="118" customFormat="1" x14ac:dyDescent="0.3">
      <c r="A60" s="360" t="s">
        <v>116</v>
      </c>
      <c r="B60" s="361">
        <f>STDEV(C36,I36,O36,U36,AA36,AG36,AM36)</f>
        <v>0.32906295056210555</v>
      </c>
      <c r="C60" s="363">
        <f>B60/SQRT(7)</f>
        <v>0.12437410469606761</v>
      </c>
      <c r="D60" s="361">
        <f t="shared" ref="D60" si="36">STDEV(E36,K36,Q36,W36,AC36,AI36,AO36)</f>
        <v>0.54918655751402756</v>
      </c>
      <c r="E60" s="363">
        <f t="shared" ref="E60" si="37">D60/SQRT(7)</f>
        <v>0.20757300779454108</v>
      </c>
      <c r="F60" s="361">
        <f t="shared" ref="F60" si="38">STDEV(G36,M36,S36,Y36,AE36,AK36,AQ36)</f>
        <v>0.57505922748738159</v>
      </c>
      <c r="G60" s="363">
        <f t="shared" ref="G60" si="39">F60/SQRT(7)</f>
        <v>0.21735195786636149</v>
      </c>
      <c r="H60" s="358" t="s">
        <v>463</v>
      </c>
      <c r="L60" s="166"/>
      <c r="R60" s="166"/>
      <c r="X60" s="166"/>
      <c r="AD60" s="166"/>
      <c r="AJ60" s="166"/>
      <c r="AP60" s="166"/>
    </row>
    <row r="61" spans="1:43" s="118" customFormat="1" x14ac:dyDescent="0.3">
      <c r="A61" s="360" t="s">
        <v>117</v>
      </c>
      <c r="B61" s="361">
        <f>AVERAGE(C42,I42,O42,U42,AA42,AG42,AM42)</f>
        <v>55.255627710103589</v>
      </c>
      <c r="C61" s="364">
        <f>B61-C17</f>
        <v>0.17562771010359057</v>
      </c>
      <c r="D61" s="361">
        <f t="shared" ref="D61" si="40">AVERAGE(E42,K42,Q42,W42,AC42,AI42,AO42)</f>
        <v>162.53916563713776</v>
      </c>
      <c r="E61" s="364">
        <f t="shared" ref="E61" si="41">D61-E17</f>
        <v>1.5391656371377564</v>
      </c>
      <c r="F61" s="361">
        <f t="shared" ref="F61" si="42">AVERAGE(G42,M42,S42,Y42,AE42,AK42,AQ42)</f>
        <v>220.1435477011068</v>
      </c>
      <c r="G61" s="364">
        <f t="shared" ref="G61" si="43">F61-G17</f>
        <v>-0.85645229889320262</v>
      </c>
      <c r="H61" s="365" t="s">
        <v>462</v>
      </c>
      <c r="L61" s="166"/>
      <c r="N61" s="141"/>
      <c r="R61" s="166"/>
      <c r="T61" s="141"/>
      <c r="X61" s="166"/>
      <c r="Z61" s="141"/>
      <c r="AD61" s="166"/>
      <c r="AF61" s="141"/>
      <c r="AJ61" s="166"/>
      <c r="AL61" s="141"/>
      <c r="AP61" s="166"/>
    </row>
    <row r="62" spans="1:43" s="118" customFormat="1" x14ac:dyDescent="0.3">
      <c r="A62" s="360" t="s">
        <v>118</v>
      </c>
      <c r="B62" s="361">
        <f>STDEV(C42,I42,O42,U42,AA42,AG42,AM42)</f>
        <v>2.4556934347902164</v>
      </c>
      <c r="C62" s="363">
        <f>B62/SQRT(7)</f>
        <v>0.92816487495270317</v>
      </c>
      <c r="D62" s="361">
        <f t="shared" ref="D62" si="44">STDEV(E42,K42,Q42,W42,AC42,AI42,AO42)</f>
        <v>0.33392883997361344</v>
      </c>
      <c r="E62" s="363">
        <f t="shared" ref="E62" si="45">D62/SQRT(7)</f>
        <v>0.12621323802320938</v>
      </c>
      <c r="F62" s="361">
        <f t="shared" ref="F62" si="46">STDEV(G42,M42,S42,Y42,AE42,AK42,AQ42)</f>
        <v>0.11722871121330086</v>
      </c>
      <c r="G62" s="363">
        <f t="shared" ref="G62" si="47">F62/SQRT(7)</f>
        <v>4.4308288055286145E-2</v>
      </c>
      <c r="H62" s="358" t="s">
        <v>463</v>
      </c>
      <c r="L62" s="166"/>
      <c r="R62" s="166"/>
      <c r="X62" s="166"/>
      <c r="AD62" s="166"/>
      <c r="AJ62" s="166"/>
      <c r="AP62" s="166"/>
    </row>
  </sheetData>
  <mergeCells count="21">
    <mergeCell ref="AL10:AM10"/>
    <mergeCell ref="AN10:AO10"/>
    <mergeCell ref="AP10:AQ10"/>
    <mergeCell ref="Z10:AA10"/>
    <mergeCell ref="AB10:AC10"/>
    <mergeCell ref="AD10:AE10"/>
    <mergeCell ref="AF10:AG10"/>
    <mergeCell ref="AH10:AI10"/>
    <mergeCell ref="AJ10:AK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zoomScale="80" zoomScaleNormal="80" workbookViewId="0">
      <pane xSplit="1" ySplit="2" topLeftCell="B34" activePane="bottomRight" state="frozenSplit"/>
      <selection pane="topRight"/>
      <selection pane="bottomLeft" activeCell="A3" sqref="A3"/>
      <selection pane="bottomRight" activeCell="C62" sqref="C62"/>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 min="8" max="8" width="9.5546875" bestFit="1" customWidth="1"/>
    <col min="9" max="9" width="12" customWidth="1"/>
    <col min="14" max="14" width="9.5546875" bestFit="1" customWidth="1"/>
    <col min="15" max="15" width="12" customWidth="1"/>
  </cols>
  <sheetData>
    <row r="1" spans="1:19" s="19" customFormat="1" x14ac:dyDescent="0.3">
      <c r="A1" s="20" t="s">
        <v>39</v>
      </c>
      <c r="B1" s="20"/>
      <c r="C1" s="20"/>
      <c r="D1" s="20"/>
      <c r="E1" s="20"/>
      <c r="F1" s="20"/>
      <c r="G1" s="20"/>
      <c r="H1" s="20"/>
      <c r="I1" s="20"/>
      <c r="N1" s="20"/>
      <c r="O1" s="20"/>
    </row>
    <row r="2" spans="1:19" s="355" customFormat="1" x14ac:dyDescent="0.3">
      <c r="C2" s="355" t="s">
        <v>479</v>
      </c>
      <c r="E2" s="355" t="s">
        <v>480</v>
      </c>
      <c r="G2" s="355" t="s">
        <v>481</v>
      </c>
      <c r="I2" s="355" t="s">
        <v>482</v>
      </c>
      <c r="K2" s="355" t="s">
        <v>299</v>
      </c>
      <c r="L2" s="368"/>
      <c r="M2" s="368" t="s">
        <v>483</v>
      </c>
      <c r="N2" s="368"/>
      <c r="O2" s="368" t="s">
        <v>484</v>
      </c>
      <c r="P2" s="368"/>
      <c r="Q2" s="368" t="s">
        <v>485</v>
      </c>
    </row>
    <row r="3" spans="1:19" s="355" customFormat="1" x14ac:dyDescent="0.3">
      <c r="B3" s="355" t="s">
        <v>446</v>
      </c>
      <c r="C3" s="355" t="s">
        <v>447</v>
      </c>
      <c r="H3" s="355" t="s">
        <v>446</v>
      </c>
      <c r="I3" s="355" t="s">
        <v>447</v>
      </c>
      <c r="J3" s="368"/>
      <c r="K3" s="368"/>
      <c r="L3" s="373"/>
      <c r="M3" s="373"/>
      <c r="N3" s="368" t="s">
        <v>446</v>
      </c>
      <c r="O3" s="368" t="s">
        <v>447</v>
      </c>
      <c r="P3" s="373"/>
      <c r="Q3" s="373"/>
    </row>
    <row r="4" spans="1:19" x14ac:dyDescent="0.3">
      <c r="A4" t="s">
        <v>1</v>
      </c>
      <c r="B4" s="350">
        <v>476</v>
      </c>
      <c r="C4" s="350">
        <v>433.5</v>
      </c>
      <c r="D4" s="350">
        <v>223</v>
      </c>
      <c r="E4" s="350">
        <v>402</v>
      </c>
      <c r="F4" s="350">
        <v>711</v>
      </c>
      <c r="G4" s="350">
        <v>614</v>
      </c>
      <c r="H4" s="350">
        <v>762</v>
      </c>
      <c r="I4" s="350">
        <v>342</v>
      </c>
      <c r="J4" s="350">
        <v>501</v>
      </c>
      <c r="K4" s="350">
        <v>568</v>
      </c>
      <c r="L4" s="350">
        <v>831</v>
      </c>
      <c r="M4" s="350">
        <v>292</v>
      </c>
      <c r="N4" s="350">
        <v>242</v>
      </c>
      <c r="O4" s="350">
        <v>658</v>
      </c>
      <c r="P4" s="350">
        <v>650</v>
      </c>
      <c r="Q4" s="350">
        <v>595</v>
      </c>
      <c r="R4" s="350">
        <v>649.75099999999998</v>
      </c>
      <c r="S4" s="350">
        <v>594.08799999999997</v>
      </c>
    </row>
    <row r="5" spans="1:19" x14ac:dyDescent="0.3">
      <c r="A5" t="s">
        <v>2</v>
      </c>
      <c r="B5" s="350">
        <v>475</v>
      </c>
      <c r="C5" s="350">
        <v>441</v>
      </c>
      <c r="D5" s="350">
        <v>760</v>
      </c>
      <c r="E5" s="350">
        <v>245</v>
      </c>
      <c r="F5" s="350">
        <v>702</v>
      </c>
      <c r="G5" s="350">
        <v>609</v>
      </c>
      <c r="H5" s="350">
        <v>808</v>
      </c>
      <c r="I5" s="350">
        <v>889</v>
      </c>
      <c r="J5" s="350">
        <v>496</v>
      </c>
      <c r="K5" s="350">
        <v>571</v>
      </c>
      <c r="L5" s="350">
        <v>832</v>
      </c>
      <c r="M5" s="350">
        <v>299</v>
      </c>
      <c r="N5" s="350">
        <v>774</v>
      </c>
      <c r="O5" s="350">
        <v>622</v>
      </c>
      <c r="P5" s="350">
        <v>641.79999999999995</v>
      </c>
      <c r="Q5" s="350">
        <v>584.81500000000005</v>
      </c>
      <c r="R5" s="350">
        <v>641.79999999999995</v>
      </c>
      <c r="S5" s="350">
        <v>584.81500000000005</v>
      </c>
    </row>
    <row r="6" spans="1:19" x14ac:dyDescent="0.3">
      <c r="A6" t="s">
        <v>4</v>
      </c>
      <c r="B6">
        <f t="shared" ref="B6:I6" si="0">B5-B4</f>
        <v>-1</v>
      </c>
      <c r="C6">
        <f t="shared" si="0"/>
        <v>7.5</v>
      </c>
      <c r="D6">
        <f t="shared" si="0"/>
        <v>537</v>
      </c>
      <c r="E6">
        <f t="shared" si="0"/>
        <v>-157</v>
      </c>
      <c r="F6">
        <f t="shared" si="0"/>
        <v>-9</v>
      </c>
      <c r="G6">
        <f t="shared" si="0"/>
        <v>-5</v>
      </c>
      <c r="H6">
        <f t="shared" si="0"/>
        <v>46</v>
      </c>
      <c r="I6">
        <f t="shared" si="0"/>
        <v>547</v>
      </c>
      <c r="J6">
        <f t="shared" ref="J6:K6" si="1">J5-J4</f>
        <v>-5</v>
      </c>
      <c r="K6">
        <f t="shared" si="1"/>
        <v>3</v>
      </c>
      <c r="L6">
        <f t="shared" ref="L6:O6" si="2">L5-L4</f>
        <v>1</v>
      </c>
      <c r="M6">
        <f t="shared" si="2"/>
        <v>7</v>
      </c>
      <c r="N6">
        <f t="shared" si="2"/>
        <v>532</v>
      </c>
      <c r="O6">
        <f t="shared" si="2"/>
        <v>-36</v>
      </c>
      <c r="P6">
        <f t="shared" ref="P6:Q6" si="3">P5-P4</f>
        <v>-8.2000000000000455</v>
      </c>
      <c r="Q6">
        <f t="shared" si="3"/>
        <v>-10.184999999999945</v>
      </c>
    </row>
    <row r="7" spans="1:19" x14ac:dyDescent="0.3">
      <c r="A7" t="s">
        <v>5</v>
      </c>
      <c r="B7">
        <f t="shared" ref="B7:I7" si="4">B6^2</f>
        <v>1</v>
      </c>
      <c r="C7">
        <f t="shared" si="4"/>
        <v>56.25</v>
      </c>
      <c r="D7">
        <f t="shared" si="4"/>
        <v>288369</v>
      </c>
      <c r="E7">
        <f t="shared" si="4"/>
        <v>24649</v>
      </c>
      <c r="F7">
        <f t="shared" si="4"/>
        <v>81</v>
      </c>
      <c r="G7">
        <f t="shared" si="4"/>
        <v>25</v>
      </c>
      <c r="H7">
        <f t="shared" si="4"/>
        <v>2116</v>
      </c>
      <c r="I7">
        <f t="shared" si="4"/>
        <v>299209</v>
      </c>
      <c r="J7">
        <f t="shared" ref="J7:K7" si="5">J6^2</f>
        <v>25</v>
      </c>
      <c r="K7">
        <f t="shared" si="5"/>
        <v>9</v>
      </c>
      <c r="L7">
        <f t="shared" ref="L7:O7" si="6">L6^2</f>
        <v>1</v>
      </c>
      <c r="M7">
        <f t="shared" si="6"/>
        <v>49</v>
      </c>
      <c r="N7">
        <f t="shared" si="6"/>
        <v>283024</v>
      </c>
      <c r="O7">
        <f t="shared" si="6"/>
        <v>1296</v>
      </c>
      <c r="P7">
        <f t="shared" ref="P7:Q7" si="7">P6^2</f>
        <v>67.240000000000748</v>
      </c>
      <c r="Q7">
        <f t="shared" si="7"/>
        <v>103.73422499999889</v>
      </c>
    </row>
    <row r="8" spans="1:19" x14ac:dyDescent="0.3">
      <c r="A8" t="s">
        <v>6</v>
      </c>
      <c r="C8">
        <f>SQRT(SUM(B7:C7))</f>
        <v>7.5663729752107782</v>
      </c>
      <c r="E8">
        <f>SQRT(SUM(D7:E7))</f>
        <v>559.48011582182255</v>
      </c>
      <c r="G8">
        <f>SQRT(SUM(F7:G7))</f>
        <v>10.295630140987001</v>
      </c>
      <c r="I8">
        <f>SQRT(SUM(H7:I7))</f>
        <v>548.93077887835727</v>
      </c>
      <c r="K8">
        <f>SQRT(SUM(J7:K7))</f>
        <v>5.8309518948453007</v>
      </c>
      <c r="M8">
        <f>SQRT(SUM(L7:M7))</f>
        <v>7.0710678118654755</v>
      </c>
      <c r="O8">
        <f>SQRT(SUM(N7:O7))</f>
        <v>533.21665390345788</v>
      </c>
      <c r="Q8">
        <f>SQRT(SUM(P7:Q7))</f>
        <v>13.07571126172491</v>
      </c>
    </row>
    <row r="9" spans="1:19" x14ac:dyDescent="0.3">
      <c r="A9" t="s">
        <v>7</v>
      </c>
      <c r="C9">
        <f>MOD(ATAN2(C6,B6)*180/PI()+270,360)</f>
        <v>262.40535663140855</v>
      </c>
      <c r="E9">
        <f>MOD(ATAN2(E6,D6)*180/PI()+270,360)</f>
        <v>16.297071938200475</v>
      </c>
      <c r="G9">
        <f>MOD(ATAN2(G6,F6)*180/PI()+270,360)</f>
        <v>150.94539590092285</v>
      </c>
      <c r="I9">
        <f>MOD(ATAN2(I6,H6)*180/PI()+270,360)</f>
        <v>274.80698190902052</v>
      </c>
      <c r="K9">
        <f>MOD(ATAN2(K6,J6)*180/PI()+270,360)</f>
        <v>210.96375653207352</v>
      </c>
      <c r="M9">
        <f>MOD(ATAN2(M6,L6)*180/PI()+270,360)</f>
        <v>278.13010235415595</v>
      </c>
      <c r="O9">
        <f>MOD(ATAN2(O6,N6)*180/PI()+270,360)</f>
        <v>3.8712562319856261</v>
      </c>
      <c r="Q9">
        <f>MOD(ATAN2(Q6,P6)*180/PI()+270,360)</f>
        <v>128.8377342593146</v>
      </c>
    </row>
    <row r="10" spans="1:19" s="356" customFormat="1" ht="117" customHeight="1" x14ac:dyDescent="0.3">
      <c r="A10" s="16" t="s">
        <v>40</v>
      </c>
      <c r="B10" s="393"/>
      <c r="C10" s="393"/>
      <c r="D10" s="393"/>
      <c r="E10" s="393"/>
      <c r="F10" s="393"/>
      <c r="G10" s="393"/>
      <c r="H10" s="393"/>
      <c r="I10" s="393"/>
      <c r="J10" s="393"/>
      <c r="K10" s="393"/>
      <c r="L10" s="393"/>
      <c r="M10" s="393"/>
      <c r="N10" s="393"/>
      <c r="O10" s="393"/>
      <c r="P10" s="393"/>
      <c r="Q10" s="393"/>
    </row>
    <row r="11" spans="1:19" s="19" customFormat="1" x14ac:dyDescent="0.3">
      <c r="A11" s="20" t="s">
        <v>37</v>
      </c>
      <c r="B11" s="20"/>
      <c r="C11" s="20"/>
      <c r="D11" s="20"/>
      <c r="E11" s="20"/>
      <c r="H11" s="20"/>
      <c r="I11" s="20"/>
      <c r="N11" s="20"/>
      <c r="O11" s="20"/>
    </row>
    <row r="12" spans="1:19" s="1" customFormat="1" x14ac:dyDescent="0.3">
      <c r="B12" s="6"/>
      <c r="D12" s="6"/>
      <c r="H12" s="6"/>
      <c r="N12" s="6"/>
    </row>
    <row r="13" spans="1:19" x14ac:dyDescent="0.3">
      <c r="A13" t="s">
        <v>18</v>
      </c>
      <c r="B13" s="5"/>
      <c r="C13" s="2"/>
      <c r="D13" s="5"/>
      <c r="E13" s="2"/>
      <c r="F13" s="5"/>
      <c r="G13" s="2"/>
      <c r="H13" s="5"/>
      <c r="I13" s="2"/>
      <c r="J13" s="5"/>
      <c r="K13" s="2"/>
      <c r="L13" s="5"/>
      <c r="M13" s="2"/>
      <c r="N13" s="5"/>
      <c r="O13" s="2"/>
      <c r="P13" s="5"/>
      <c r="Q13" s="2"/>
    </row>
    <row r="14" spans="1:19" x14ac:dyDescent="0.3">
      <c r="A14" t="s">
        <v>17</v>
      </c>
      <c r="B14" s="5"/>
      <c r="C14" s="2"/>
      <c r="D14" s="5"/>
      <c r="E14" s="2"/>
      <c r="F14" s="5"/>
      <c r="G14" s="2"/>
      <c r="H14" s="5"/>
      <c r="I14" s="2"/>
      <c r="J14" s="5"/>
      <c r="K14" s="2"/>
      <c r="L14" s="5"/>
      <c r="M14" s="2"/>
      <c r="N14" s="5"/>
      <c r="O14" s="2"/>
      <c r="P14" s="5"/>
      <c r="Q14" s="2"/>
    </row>
    <row r="15" spans="1:19" x14ac:dyDescent="0.3">
      <c r="A15" t="s">
        <v>14</v>
      </c>
      <c r="B15" s="5"/>
      <c r="C15" s="5"/>
      <c r="D15" s="5"/>
      <c r="E15" s="5"/>
      <c r="F15" s="5"/>
      <c r="G15" s="5"/>
      <c r="H15" s="5"/>
      <c r="I15" s="5"/>
      <c r="J15" s="5"/>
      <c r="K15" s="5"/>
      <c r="L15" s="5"/>
      <c r="M15" s="5"/>
      <c r="N15" s="5"/>
      <c r="O15" s="5"/>
      <c r="P15" s="5"/>
      <c r="Q15" s="5"/>
    </row>
    <row r="16" spans="1:19" x14ac:dyDescent="0.3">
      <c r="A16" t="s">
        <v>13</v>
      </c>
      <c r="B16" s="4"/>
      <c r="C16" s="350">
        <v>1.1739999999999999</v>
      </c>
      <c r="D16" s="4"/>
      <c r="E16" s="111">
        <f>5*15.0412*COS((31+36/60+15/3600)*PI()/180)</f>
        <v>64.052109890310106</v>
      </c>
      <c r="F16" s="4"/>
      <c r="G16" s="350">
        <v>1.1739999999999999</v>
      </c>
      <c r="H16" s="4"/>
      <c r="I16" s="111">
        <f>5*15.0412*COS((31+36/60+15/3600)*PI()/180)</f>
        <v>64.052109890310106</v>
      </c>
      <c r="J16" s="4"/>
      <c r="K16" s="350">
        <v>0.65800000000000003</v>
      </c>
      <c r="L16" s="4"/>
      <c r="M16" s="350">
        <v>0.65800000000000003</v>
      </c>
      <c r="N16" s="4"/>
      <c r="O16" s="111">
        <f>5*15.0412*COS((30+17/60+14/3600)*PI()/180)</f>
        <v>64.940986107977551</v>
      </c>
      <c r="P16" s="4"/>
      <c r="Q16" s="350">
        <v>1.4370000000000001</v>
      </c>
    </row>
    <row r="17" spans="1:17" x14ac:dyDescent="0.3">
      <c r="A17" t="s">
        <v>7</v>
      </c>
      <c r="C17" s="350">
        <v>149.02000000000001</v>
      </c>
      <c r="E17" s="63">
        <v>-90</v>
      </c>
      <c r="G17" s="350">
        <v>149.02000000000001</v>
      </c>
      <c r="I17" s="63">
        <v>-90</v>
      </c>
      <c r="K17" s="350">
        <v>196.16</v>
      </c>
      <c r="M17" s="350">
        <v>196.16</v>
      </c>
      <c r="O17" s="63">
        <v>-90</v>
      </c>
      <c r="Q17" s="350">
        <v>39.94</v>
      </c>
    </row>
    <row r="18" spans="1:17" x14ac:dyDescent="0.3">
      <c r="A18" t="s">
        <v>32</v>
      </c>
      <c r="B18" s="9">
        <f>-C16*SIN((C17)/180*PI())</f>
        <v>-0.60430339311821402</v>
      </c>
      <c r="C18" s="9">
        <f>C16*COS((C17)/180*PI())</f>
        <v>-1.006525414018848</v>
      </c>
      <c r="D18" s="9">
        <f>-E16*SIN((E17)/180*PI())</f>
        <v>64.052109890310106</v>
      </c>
      <c r="E18" s="9">
        <f>E16*COS((E17)/180*PI())</f>
        <v>3.923667173287528E-15</v>
      </c>
      <c r="F18" s="9">
        <f>-G16*SIN((G17)/180*PI())</f>
        <v>-0.60430339311821402</v>
      </c>
      <c r="G18" s="9">
        <f>G16*COS((G17)/180*PI())</f>
        <v>-1.006525414018848</v>
      </c>
      <c r="H18" s="9">
        <f>-I16*SIN((I17)/180*PI())</f>
        <v>64.052109890310106</v>
      </c>
      <c r="I18" s="9">
        <f>I16*COS((I17)/180*PI())</f>
        <v>3.923667173287528E-15</v>
      </c>
      <c r="J18" s="9">
        <f>-K16*SIN((K17)/180*PI())</f>
        <v>0.18313497232991122</v>
      </c>
      <c r="K18" s="9">
        <f>K16*COS((K17)/180*PI())</f>
        <v>-0.63200125150961739</v>
      </c>
      <c r="L18" s="9">
        <f>-M16*SIN((M17)/180*PI())</f>
        <v>0.18313497232991122</v>
      </c>
      <c r="M18" s="9">
        <f>M16*COS((M17)/180*PI())</f>
        <v>-0.63200125150961739</v>
      </c>
      <c r="N18" s="9">
        <f>-O16*SIN((O17)/180*PI())</f>
        <v>64.940986107977551</v>
      </c>
      <c r="O18" s="9">
        <f>O16*COS((O17)/180*PI())</f>
        <v>3.978117439521543E-15</v>
      </c>
      <c r="P18" s="9">
        <f>-Q16*SIN((Q17)/180*PI())</f>
        <v>-0.92253252765696181</v>
      </c>
      <c r="Q18" s="9">
        <f>Q16*COS((Q17)/180*PI())</f>
        <v>1.1017725425036047</v>
      </c>
    </row>
    <row r="19" spans="1:17" s="354" customFormat="1" ht="69" customHeight="1" x14ac:dyDescent="0.3">
      <c r="A19" s="15" t="s">
        <v>40</v>
      </c>
      <c r="B19" s="353"/>
      <c r="C19" s="353"/>
      <c r="D19" s="353"/>
      <c r="E19" s="353"/>
      <c r="F19" s="353"/>
      <c r="G19" s="353"/>
      <c r="H19" s="353"/>
      <c r="I19" s="353"/>
      <c r="J19" s="366"/>
      <c r="K19" s="366"/>
      <c r="L19" s="366"/>
      <c r="M19" s="366"/>
      <c r="N19" s="366"/>
      <c r="O19" s="366"/>
      <c r="P19" s="366"/>
      <c r="Q19" s="366"/>
    </row>
    <row r="20" spans="1:17" s="19" customFormat="1" x14ac:dyDescent="0.3">
      <c r="A20" s="18" t="s">
        <v>38</v>
      </c>
    </row>
    <row r="21" spans="1:17" x14ac:dyDescent="0.3">
      <c r="A21" s="7" t="s">
        <v>65</v>
      </c>
      <c r="C21">
        <f>C16/C8</f>
        <v>0.15516020738685507</v>
      </c>
      <c r="E21">
        <f>E16/E8</f>
        <v>0.11448505153078356</v>
      </c>
      <c r="G21">
        <f>G16/G8</f>
        <v>0.1140289602407428</v>
      </c>
      <c r="I21">
        <f>I16/I8</f>
        <v>0.1166852221717085</v>
      </c>
      <c r="K21">
        <f>K16/K8</f>
        <v>0.11284606902377081</v>
      </c>
      <c r="M21">
        <f>M16/M8</f>
        <v>9.3055252404149649E-2</v>
      </c>
      <c r="O21">
        <f>O16/O8</f>
        <v>0.12179099364690044</v>
      </c>
      <c r="Q21">
        <f>Q16/Q8</f>
        <v>0.10989841938513677</v>
      </c>
    </row>
    <row r="22" spans="1:17" x14ac:dyDescent="0.3">
      <c r="A22" t="s">
        <v>34</v>
      </c>
    </row>
    <row r="23" spans="1:17" x14ac:dyDescent="0.3">
      <c r="A23" t="s">
        <v>35</v>
      </c>
    </row>
    <row r="24" spans="1:17" x14ac:dyDescent="0.3">
      <c r="A24" s="7" t="s">
        <v>64</v>
      </c>
      <c r="C24">
        <f>MOD(C9-C17,360)</f>
        <v>113.38535663140854</v>
      </c>
      <c r="E24">
        <f>MOD(E9-E17,360)</f>
        <v>106.29707193820047</v>
      </c>
      <c r="G24">
        <f>MOD(G9-G17,360)</f>
        <v>1.9253959009228367</v>
      </c>
      <c r="I24">
        <f>MOD(I9-I17,360)</f>
        <v>4.8069819090205215</v>
      </c>
      <c r="K24">
        <f>MOD(K9-K17,360)</f>
        <v>14.803756532073521</v>
      </c>
      <c r="M24">
        <f>MOD(M9-M17,360)</f>
        <v>81.970102354155955</v>
      </c>
      <c r="O24">
        <f>MOD(O9-O17,360)</f>
        <v>93.871256231985626</v>
      </c>
      <c r="Q24">
        <f>MOD(Q9-Q17,360)</f>
        <v>88.897734259314603</v>
      </c>
    </row>
    <row r="25" spans="1:17" x14ac:dyDescent="0.3">
      <c r="A25" t="s">
        <v>36</v>
      </c>
    </row>
    <row r="26" spans="1:17" x14ac:dyDescent="0.3">
      <c r="A26" t="s">
        <v>35</v>
      </c>
    </row>
    <row r="27" spans="1:17" x14ac:dyDescent="0.3">
      <c r="A27" t="s">
        <v>67</v>
      </c>
      <c r="C27">
        <f>SQRT(C16)</f>
        <v>1.0835128056465231</v>
      </c>
      <c r="E27">
        <f>SQRT(E16)</f>
        <v>8.0032562054647549</v>
      </c>
      <c r="G27">
        <f>SQRT(G16)</f>
        <v>1.0835128056465231</v>
      </c>
      <c r="I27">
        <f>SQRT(I16)</f>
        <v>8.0032562054647549</v>
      </c>
      <c r="K27">
        <f>SQRT(K16)</f>
        <v>0.81117199162692988</v>
      </c>
      <c r="M27">
        <f>SQRT(M16)</f>
        <v>0.81117199162692988</v>
      </c>
      <c r="O27">
        <f>SQRT(O16)</f>
        <v>8.0585970309960011</v>
      </c>
      <c r="Q27">
        <f>SQRT(Q16)</f>
        <v>1.1987493482792806</v>
      </c>
    </row>
    <row r="28" spans="1:17" x14ac:dyDescent="0.3">
      <c r="A28" t="s">
        <v>68</v>
      </c>
      <c r="C28">
        <f>C27*C21</f>
        <v>0.16811807163042772</v>
      </c>
      <c r="E28">
        <f>E27*E21</f>
        <v>0.91625319909669578</v>
      </c>
      <c r="G28">
        <f>G27*G21</f>
        <v>0.12355183863540306</v>
      </c>
      <c r="I28">
        <f>I27*I21</f>
        <v>0.93386172843175963</v>
      </c>
      <c r="K28">
        <f>K27*K21</f>
        <v>9.1537570557282164E-2</v>
      </c>
      <c r="M28">
        <f>M27*M21</f>
        <v>7.5483814424020731E-2</v>
      </c>
      <c r="O28">
        <f>O27*O21</f>
        <v>0.98146453980496473</v>
      </c>
      <c r="Q28">
        <f>Q27*Q21</f>
        <v>0.13174065861485576</v>
      </c>
    </row>
    <row r="29" spans="1:17" x14ac:dyDescent="0.3">
      <c r="A29" s="288" t="s">
        <v>69</v>
      </c>
      <c r="B29" s="118" t="s">
        <v>357</v>
      </c>
      <c r="C29" s="139">
        <f>SUM(B28:Q28)/SUM(B27:Q27)</f>
        <v>0.11778420545482024</v>
      </c>
      <c r="H29" s="118"/>
      <c r="I29" s="139"/>
      <c r="N29" s="118"/>
      <c r="O29" s="139"/>
    </row>
    <row r="30" spans="1:17" x14ac:dyDescent="0.3">
      <c r="A30" t="s">
        <v>72</v>
      </c>
      <c r="C30" s="7">
        <f>C21-$C29</f>
        <v>3.737600193203483E-2</v>
      </c>
      <c r="E30" s="7">
        <f>E21-$C29</f>
        <v>-3.2991539240366796E-3</v>
      </c>
      <c r="G30" s="7">
        <f>G21-$C29</f>
        <v>-3.7552452140774406E-3</v>
      </c>
      <c r="I30" s="7">
        <f>I21-$C29</f>
        <v>-1.0989832831117402E-3</v>
      </c>
      <c r="K30" s="7">
        <f>K21-$C29</f>
        <v>-4.938136431049428E-3</v>
      </c>
      <c r="M30" s="7">
        <f>M21-$C29</f>
        <v>-2.4728953050670591E-2</v>
      </c>
      <c r="O30" s="7">
        <f>O21-$C29</f>
        <v>4.0067881920801962E-3</v>
      </c>
      <c r="Q30" s="7">
        <f>Q21-$C29</f>
        <v>-7.8857860696834731E-3</v>
      </c>
    </row>
    <row r="31" spans="1:17" x14ac:dyDescent="0.3">
      <c r="A31" t="s">
        <v>70</v>
      </c>
      <c r="C31">
        <f>C27*C24</f>
        <v>122.85448588292907</v>
      </c>
      <c r="E31">
        <f>E27*E24</f>
        <v>850.72270061213646</v>
      </c>
      <c r="G31">
        <f>G27*G24</f>
        <v>2.086191114589218</v>
      </c>
      <c r="I31">
        <f>I27*I24</f>
        <v>38.471507792925301</v>
      </c>
      <c r="K31">
        <f>K27*K24</f>
        <v>12.008392669682252</v>
      </c>
      <c r="M31">
        <f>M27*M24</f>
        <v>66.491851180483977</v>
      </c>
      <c r="O31">
        <f>O27*O24</f>
        <v>756.47062676694418</v>
      </c>
      <c r="Q31">
        <f>Q27*Q24</f>
        <v>106.56610100685806</v>
      </c>
    </row>
    <row r="32" spans="1:17" x14ac:dyDescent="0.3">
      <c r="A32" s="288" t="s">
        <v>71</v>
      </c>
      <c r="B32" s="118" t="s">
        <v>357</v>
      </c>
      <c r="C32" s="139">
        <f>MOD(SUM(B31:E31)/SUM(B27:E27),360)</f>
        <v>107.14228405108328</v>
      </c>
      <c r="G32" s="139">
        <f>MOD(SUM(F31:K31)/SUM(F27:K27),360)</f>
        <v>5.3108107597988985</v>
      </c>
      <c r="H32" s="118"/>
      <c r="I32" s="139"/>
      <c r="K32" s="139"/>
      <c r="M32" s="139">
        <f>MOD(SUM(L31:O31)/SUM(L27:O27),360)</f>
        <v>92.782853290588307</v>
      </c>
      <c r="N32" s="118"/>
      <c r="O32" s="139"/>
      <c r="Q32" s="139">
        <f>MOD(SUM(P31:S31)/SUM(P27:S27),360)</f>
        <v>88.897734259314603</v>
      </c>
    </row>
    <row r="33" spans="1:17" x14ac:dyDescent="0.3">
      <c r="A33" t="s">
        <v>73</v>
      </c>
      <c r="C33" s="7">
        <f>C24-$C32</f>
        <v>6.2430725803252614</v>
      </c>
      <c r="E33" s="7">
        <f>E24-$C32</f>
        <v>-0.8452121128828054</v>
      </c>
      <c r="G33" s="7">
        <f>G24-$C32</f>
        <v>-105.21688815016044</v>
      </c>
      <c r="I33" s="7">
        <f>I24-$C32</f>
        <v>-102.33530214206276</v>
      </c>
      <c r="K33" s="7">
        <f>K24-$C32</f>
        <v>-92.338527519009759</v>
      </c>
      <c r="M33" s="7">
        <f>M24-$C32</f>
        <v>-25.172181696927325</v>
      </c>
      <c r="O33" s="7">
        <f>O24-$C32</f>
        <v>-13.271027819097654</v>
      </c>
      <c r="Q33" s="7">
        <f>Q24-$C32</f>
        <v>-18.244549791768677</v>
      </c>
    </row>
    <row r="34" spans="1:17" s="354" customFormat="1" ht="75.75" customHeight="1" x14ac:dyDescent="0.3">
      <c r="A34" s="15" t="s">
        <v>40</v>
      </c>
      <c r="J34" s="367"/>
      <c r="K34" s="367"/>
      <c r="L34" s="367"/>
      <c r="M34" s="367"/>
      <c r="N34" s="367"/>
      <c r="O34" s="367"/>
      <c r="P34" s="367"/>
      <c r="Q34" s="367"/>
    </row>
    <row r="35" spans="1:17" s="19" customFormat="1" x14ac:dyDescent="0.3">
      <c r="A35" s="20" t="s">
        <v>54</v>
      </c>
      <c r="B35" s="20"/>
      <c r="C35" s="20"/>
      <c r="D35" s="20"/>
      <c r="E35" s="20"/>
      <c r="H35" s="20"/>
      <c r="I35" s="20"/>
      <c r="N35" s="20"/>
      <c r="O35" s="20"/>
    </row>
    <row r="36" spans="1:17" x14ac:dyDescent="0.3">
      <c r="A36" s="7" t="s">
        <v>42</v>
      </c>
      <c r="B36" s="118"/>
      <c r="C36" s="147">
        <f>C8*$C29</f>
        <v>0.8911992290600258</v>
      </c>
      <c r="D36" s="118"/>
      <c r="E36" s="147">
        <f>E8*$C29</f>
        <v>65.897920909844174</v>
      </c>
      <c r="F36" s="118"/>
      <c r="G36" s="147">
        <f>G8*$C29</f>
        <v>1.2126626158128528</v>
      </c>
      <c r="H36" s="118"/>
      <c r="I36" s="147">
        <f>I8*$C29</f>
        <v>64.655375639882934</v>
      </c>
      <c r="J36" s="118"/>
      <c r="K36" s="147">
        <f>K8*$C29</f>
        <v>0.68679403597963229</v>
      </c>
      <c r="L36" s="118"/>
      <c r="M36" s="147">
        <f>M8*$C29</f>
        <v>0.83286010393772936</v>
      </c>
      <c r="N36" s="118"/>
      <c r="O36" s="147">
        <f>O8*$C29</f>
        <v>62.80449991529666</v>
      </c>
      <c r="P36" s="118"/>
      <c r="Q36" s="147">
        <f>Q8*$C29</f>
        <v>1.5401122617189136</v>
      </c>
    </row>
    <row r="37" spans="1:17" x14ac:dyDescent="0.3">
      <c r="A37" t="s">
        <v>50</v>
      </c>
      <c r="B37" s="118"/>
      <c r="C37" s="141">
        <f>C36-C16</f>
        <v>-0.28280077093997413</v>
      </c>
      <c r="D37" s="118"/>
      <c r="E37" s="141">
        <f>E36-E16</f>
        <v>1.845811019534068</v>
      </c>
      <c r="F37" s="118"/>
      <c r="G37" s="141">
        <f>G36-G16</f>
        <v>3.8662615812852907E-2</v>
      </c>
      <c r="H37" s="118"/>
      <c r="I37" s="141">
        <f>I36-I16</f>
        <v>0.6032657495728273</v>
      </c>
      <c r="J37" s="118"/>
      <c r="K37" s="141">
        <f>K36-K16</f>
        <v>2.879403597963226E-2</v>
      </c>
      <c r="L37" s="118"/>
      <c r="M37" s="141">
        <f>M36-M16</f>
        <v>0.17486010393772933</v>
      </c>
      <c r="N37" s="118"/>
      <c r="O37" s="141">
        <f>O36-O16</f>
        <v>-2.1364861926808913</v>
      </c>
      <c r="P37" s="118"/>
      <c r="Q37" s="141">
        <f>Q36-Q16</f>
        <v>0.10311226171891352</v>
      </c>
    </row>
    <row r="38" spans="1:17" x14ac:dyDescent="0.3">
      <c r="A38" t="s">
        <v>51</v>
      </c>
      <c r="B38" s="118"/>
      <c r="C38" s="142">
        <f>C37/C16</f>
        <v>-0.24088651698464578</v>
      </c>
      <c r="D38" s="118"/>
      <c r="E38" s="142">
        <f>E37/E16</f>
        <v>2.8817333616254614E-2</v>
      </c>
      <c r="F38" s="118"/>
      <c r="G38" s="142">
        <f>G37/G16</f>
        <v>3.2932381441953075E-2</v>
      </c>
      <c r="H38" s="118"/>
      <c r="I38" s="142">
        <f>I37/I16</f>
        <v>9.4183587489299891E-3</v>
      </c>
      <c r="J38" s="118"/>
      <c r="K38" s="142">
        <f>K37/K16</f>
        <v>4.3759933099745074E-2</v>
      </c>
      <c r="L38" s="118"/>
      <c r="M38" s="142">
        <f>M37/M16</f>
        <v>0.26574483881113881</v>
      </c>
      <c r="N38" s="118"/>
      <c r="O38" s="142">
        <f>O37/O16</f>
        <v>-3.2898887447267121E-2</v>
      </c>
      <c r="P38" s="118"/>
      <c r="Q38" s="142">
        <f>Q37/Q16</f>
        <v>7.1755227361804813E-2</v>
      </c>
    </row>
    <row r="39" spans="1:17" x14ac:dyDescent="0.3">
      <c r="A39" t="s">
        <v>53</v>
      </c>
      <c r="B39" s="118">
        <f>AVERAGE(B37:C37)</f>
        <v>-0.28280077093997413</v>
      </c>
      <c r="C39" s="142">
        <f>AVERAGE(C38:C38)</f>
        <v>-0.24088651698464578</v>
      </c>
      <c r="D39" s="118">
        <f>AVERAGE(D37:E37)</f>
        <v>1.845811019534068</v>
      </c>
      <c r="E39" s="142">
        <f>AVERAGE(E38:E38)</f>
        <v>2.8817333616254614E-2</v>
      </c>
      <c r="F39" s="118">
        <f>AVERAGE(F37:G37)</f>
        <v>3.8662615812852907E-2</v>
      </c>
      <c r="G39" s="142">
        <f>AVERAGE(G38:G38)</f>
        <v>3.2932381441953075E-2</v>
      </c>
      <c r="H39" s="118">
        <f>AVERAGE(H37:I37)</f>
        <v>0.6032657495728273</v>
      </c>
      <c r="I39" s="142">
        <f>AVERAGE(I38:I38)</f>
        <v>9.4183587489299891E-3</v>
      </c>
      <c r="J39" s="118">
        <f>AVERAGE(J37:K37)</f>
        <v>2.879403597963226E-2</v>
      </c>
      <c r="K39" s="142">
        <f>AVERAGE(K38:K38)</f>
        <v>4.3759933099745074E-2</v>
      </c>
      <c r="L39" s="118">
        <f>AVERAGE(L37:M37)</f>
        <v>0.17486010393772933</v>
      </c>
      <c r="M39" s="142">
        <f>AVERAGE(M38:M38)</f>
        <v>0.26574483881113881</v>
      </c>
      <c r="N39" s="118">
        <f>AVERAGE(N37:O37)</f>
        <v>-2.1364861926808913</v>
      </c>
      <c r="O39" s="142">
        <f>AVERAGE(O38:O38)</f>
        <v>-3.2898887447267121E-2</v>
      </c>
      <c r="P39" s="118">
        <f>AVERAGE(P37:Q37)</f>
        <v>0.10311226171891352</v>
      </c>
      <c r="Q39" s="142">
        <f>AVERAGE(Q38:Q38)</f>
        <v>7.1755227361804813E-2</v>
      </c>
    </row>
    <row r="40" spans="1:17" x14ac:dyDescent="0.3">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row>
    <row r="41" spans="1:17" x14ac:dyDescent="0.3">
      <c r="B41" s="118"/>
      <c r="C41" s="142"/>
      <c r="D41" s="118"/>
      <c r="E41" s="142"/>
      <c r="F41" s="118"/>
      <c r="G41" s="142"/>
      <c r="H41" s="118"/>
      <c r="I41" s="142"/>
      <c r="J41" s="118"/>
      <c r="K41" s="142"/>
      <c r="L41" s="118"/>
      <c r="M41" s="142"/>
      <c r="N41" s="118"/>
      <c r="O41" s="142"/>
      <c r="P41" s="118"/>
      <c r="Q41" s="142"/>
    </row>
    <row r="42" spans="1:17" x14ac:dyDescent="0.3">
      <c r="A42" s="7" t="s">
        <v>43</v>
      </c>
      <c r="B42" s="118"/>
      <c r="C42" s="141">
        <f>MOD(C9-$C32,360)</f>
        <v>155.26307258032529</v>
      </c>
      <c r="D42" s="118"/>
      <c r="E42" s="141">
        <f>MOD(E9-$C32,360)</f>
        <v>269.15478788711721</v>
      </c>
      <c r="F42" s="118"/>
      <c r="G42" s="141">
        <f>MOD(G9-$G32,360)</f>
        <v>145.63458514112395</v>
      </c>
      <c r="H42" s="118"/>
      <c r="I42" s="141">
        <f>MOD(I9-$C32,360)</f>
        <v>167.66469785793726</v>
      </c>
      <c r="J42" s="118"/>
      <c r="K42" s="141">
        <f>MOD(K9-$G32,360)</f>
        <v>205.65294577227462</v>
      </c>
      <c r="L42" s="118"/>
      <c r="M42" s="141">
        <f>MOD(M9-$M32,360)</f>
        <v>185.34724906356763</v>
      </c>
      <c r="N42" s="118"/>
      <c r="O42" s="141">
        <f>MOD(O9-$M32,360)</f>
        <v>271.08840294139731</v>
      </c>
      <c r="P42" s="118"/>
      <c r="Q42" s="141">
        <f>MOD(Q9-$M32,360)</f>
        <v>36.054880968726295</v>
      </c>
    </row>
    <row r="43" spans="1:17" x14ac:dyDescent="0.3">
      <c r="A43" t="s">
        <v>55</v>
      </c>
      <c r="B43" s="118"/>
      <c r="C43" s="141">
        <f>C42-C17</f>
        <v>6.2430725803252756</v>
      </c>
      <c r="D43" s="118"/>
      <c r="E43" s="141">
        <f>E42-E17</f>
        <v>359.15478788711721</v>
      </c>
      <c r="F43" s="118"/>
      <c r="G43" s="141">
        <f>G42-G17</f>
        <v>-3.3854148588760609</v>
      </c>
      <c r="H43" s="118"/>
      <c r="I43" s="141">
        <f>I42-I17</f>
        <v>257.66469785793726</v>
      </c>
      <c r="J43" s="118"/>
      <c r="K43" s="141">
        <f>K42-K17</f>
        <v>9.4929457722746236</v>
      </c>
      <c r="L43" s="118"/>
      <c r="M43" s="141">
        <f>M42-M17</f>
        <v>-10.812750936432366</v>
      </c>
      <c r="N43" s="118"/>
      <c r="O43" s="141">
        <f>O42-O17</f>
        <v>361.08840294139731</v>
      </c>
      <c r="P43" s="118"/>
      <c r="Q43" s="141">
        <f>Q42-Q17</f>
        <v>-3.8851190312737032</v>
      </c>
    </row>
    <row r="44" spans="1:17" x14ac:dyDescent="0.3">
      <c r="A44" t="s">
        <v>56</v>
      </c>
      <c r="B44" s="118">
        <f>AVERAGE(B43:C43)</f>
        <v>6.2430725803252756</v>
      </c>
      <c r="C44" s="141"/>
      <c r="D44" s="118">
        <f>AVERAGE(D43:E43)</f>
        <v>359.15478788711721</v>
      </c>
      <c r="E44" s="141"/>
      <c r="F44" s="118">
        <f>AVERAGE(F43:G43)</f>
        <v>-3.3854148588760609</v>
      </c>
      <c r="G44" s="141"/>
      <c r="H44" s="118">
        <f>AVERAGE(H43:I43)</f>
        <v>257.66469785793726</v>
      </c>
      <c r="I44" s="141"/>
      <c r="J44" s="118">
        <f>AVERAGE(J43:K43)</f>
        <v>9.4929457722746236</v>
      </c>
      <c r="K44" s="141"/>
      <c r="L44" s="118">
        <f>AVERAGE(L43:M43)</f>
        <v>-10.812750936432366</v>
      </c>
      <c r="M44" s="141"/>
      <c r="N44" s="118">
        <f>AVERAGE(N43:O43)</f>
        <v>361.08840294139731</v>
      </c>
      <c r="O44" s="141"/>
      <c r="P44" s="118">
        <f>AVERAGE(P43:Q43)</f>
        <v>-3.8851190312737032</v>
      </c>
      <c r="Q44" s="141"/>
    </row>
    <row r="45" spans="1:17" x14ac:dyDescent="0.3">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row>
    <row r="46" spans="1:17" x14ac:dyDescent="0.3">
      <c r="B46" s="118"/>
      <c r="C46" s="141"/>
      <c r="D46" s="118"/>
      <c r="E46" s="141"/>
      <c r="F46" s="118"/>
      <c r="G46" s="141"/>
      <c r="H46" s="118"/>
      <c r="I46" s="141"/>
      <c r="J46" s="118"/>
      <c r="K46" s="141"/>
      <c r="L46" s="118"/>
      <c r="M46" s="141"/>
      <c r="N46" s="118"/>
      <c r="O46" s="141"/>
      <c r="P46" s="118"/>
      <c r="Q46" s="141"/>
    </row>
    <row r="47" spans="1:17" x14ac:dyDescent="0.3">
      <c r="A47" t="s">
        <v>44</v>
      </c>
      <c r="B47" s="72">
        <f>-C36*SIN((C42)/180*PI())</f>
        <v>-0.37292456775628402</v>
      </c>
      <c r="C47" s="72">
        <f>C36*COS((C42)/180*PI())</f>
        <v>-0.80942160376467154</v>
      </c>
      <c r="D47" s="72">
        <f>-E36*SIN((E42)/180*PI())</f>
        <v>65.890750895883144</v>
      </c>
      <c r="E47" s="72">
        <f>E36*COS((E42)/180*PI())</f>
        <v>-0.97207335975840337</v>
      </c>
      <c r="F47" s="72">
        <f>-G36*SIN((G42)/180*PI())</f>
        <v>-0.68451026216427824</v>
      </c>
      <c r="G47" s="72">
        <f>G36*COS((G42)/180*PI())</f>
        <v>-1.000997662725474</v>
      </c>
      <c r="H47" s="72">
        <f>-I36*SIN((I42)/180*PI())</f>
        <v>-13.812479275900081</v>
      </c>
      <c r="I47" s="72">
        <f>I36*COS((I42)/180*PI())</f>
        <v>-63.162750220261927</v>
      </c>
      <c r="J47" s="72">
        <f>-K36*SIN((K42)/180*PI())</f>
        <v>0.29732613770562538</v>
      </c>
      <c r="K47" s="72">
        <f>K36*COS((K42)/180*PI())</f>
        <v>-0.61909871239911973</v>
      </c>
      <c r="L47" s="72">
        <f>-M36*SIN((M42)/180*PI())</f>
        <v>7.7615633988196361E-2</v>
      </c>
      <c r="M47" s="72">
        <f>M36*COS((M42)/180*PI())</f>
        <v>-0.82923565172499403</v>
      </c>
      <c r="N47" s="72">
        <f>-O36*SIN((O42)/180*PI())</f>
        <v>62.793168560053452</v>
      </c>
      <c r="O47" s="72">
        <f>O36*COS((O42)/180*PI())</f>
        <v>1.1929760262524183</v>
      </c>
      <c r="P47" s="72">
        <f>-Q36*SIN((Q42)/180*PI())</f>
        <v>-0.90644832240175199</v>
      </c>
      <c r="Q47" s="72">
        <f>Q36*COS((Q42)/180*PI())</f>
        <v>1.2451093195025074</v>
      </c>
    </row>
    <row r="48" spans="1:17" s="10" customFormat="1" x14ac:dyDescent="0.3">
      <c r="A48" t="s">
        <v>45</v>
      </c>
      <c r="B48" s="72">
        <f t="shared" ref="B48:I48" si="8">B47-B18</f>
        <v>0.23137882536193</v>
      </c>
      <c r="C48" s="72">
        <f t="shared" si="8"/>
        <v>0.19710381025417645</v>
      </c>
      <c r="D48" s="72">
        <f t="shared" si="8"/>
        <v>1.838641005573038</v>
      </c>
      <c r="E48" s="72">
        <f t="shared" si="8"/>
        <v>-0.97207335975840725</v>
      </c>
      <c r="F48" s="72">
        <f t="shared" si="8"/>
        <v>-8.0206869046064222E-2</v>
      </c>
      <c r="G48" s="72">
        <f t="shared" si="8"/>
        <v>5.5277512933740169E-3</v>
      </c>
      <c r="H48" s="72">
        <f t="shared" si="8"/>
        <v>-77.86458916621018</v>
      </c>
      <c r="I48" s="72">
        <f t="shared" si="8"/>
        <v>-63.162750220261934</v>
      </c>
      <c r="J48" s="72">
        <f t="shared" ref="J48:K48" si="9">J47-J18</f>
        <v>0.11419116537571417</v>
      </c>
      <c r="K48" s="72">
        <f t="shared" si="9"/>
        <v>1.2902539110497657E-2</v>
      </c>
      <c r="L48" s="72">
        <f t="shared" ref="L48:O48" si="10">L47-L18</f>
        <v>-0.10551933834171486</v>
      </c>
      <c r="M48" s="72">
        <f t="shared" si="10"/>
        <v>-0.19723440021537664</v>
      </c>
      <c r="N48" s="72">
        <f t="shared" si="10"/>
        <v>-2.1478175479240988</v>
      </c>
      <c r="O48" s="72">
        <f t="shared" si="10"/>
        <v>1.1929760262524143</v>
      </c>
      <c r="P48" s="72">
        <f t="shared" ref="P48:Q48" si="11">P47-P18</f>
        <v>1.6084205255209816E-2</v>
      </c>
      <c r="Q48" s="72">
        <f t="shared" si="11"/>
        <v>0.14333677699890268</v>
      </c>
    </row>
    <row r="49" spans="1:17" x14ac:dyDescent="0.3">
      <c r="A49" t="s">
        <v>46</v>
      </c>
      <c r="B49" s="118">
        <f t="shared" ref="B49:I49" si="12">B48^2</f>
        <v>5.3536160825866499E-2</v>
      </c>
      <c r="C49" s="118">
        <f t="shared" si="12"/>
        <v>3.8849912016714394E-2</v>
      </c>
      <c r="D49" s="118">
        <f t="shared" si="12"/>
        <v>3.3806007473746322</v>
      </c>
      <c r="E49" s="118">
        <f t="shared" si="12"/>
        <v>0.94492661675199785</v>
      </c>
      <c r="F49" s="118">
        <f t="shared" si="12"/>
        <v>6.4331418421724948E-3</v>
      </c>
      <c r="G49" s="118">
        <f t="shared" si="12"/>
        <v>3.0556034361398116E-5</v>
      </c>
      <c r="H49" s="118">
        <f t="shared" si="12"/>
        <v>6062.8942460226954</v>
      </c>
      <c r="I49" s="118">
        <f t="shared" si="12"/>
        <v>3989.5330153871992</v>
      </c>
      <c r="J49" s="118">
        <f t="shared" ref="J49:K49" si="13">J48^2</f>
        <v>1.3039622249863702E-2</v>
      </c>
      <c r="K49" s="118">
        <f t="shared" si="13"/>
        <v>1.6647551549792169E-4</v>
      </c>
      <c r="L49" s="118">
        <f t="shared" ref="L49:O49" si="14">L48^2</f>
        <v>1.1134330764073296E-2</v>
      </c>
      <c r="M49" s="118">
        <f t="shared" si="14"/>
        <v>3.8901408628319367E-2</v>
      </c>
      <c r="N49" s="118">
        <f t="shared" si="14"/>
        <v>4.613120219170689</v>
      </c>
      <c r="O49" s="118">
        <f t="shared" si="14"/>
        <v>1.423191799213001</v>
      </c>
      <c r="P49" s="118">
        <f t="shared" ref="P49:Q49" si="15">P48^2</f>
        <v>2.5870165869171908E-4</v>
      </c>
      <c r="Q49" s="118">
        <f t="shared" si="15"/>
        <v>2.0545431640433157E-2</v>
      </c>
    </row>
    <row r="50" spans="1:17" s="10" customFormat="1" x14ac:dyDescent="0.3">
      <c r="A50" t="s">
        <v>47</v>
      </c>
      <c r="B50" s="72"/>
      <c r="C50" s="72">
        <f>SQRT(B49+C49)</f>
        <v>0.30395077371604251</v>
      </c>
      <c r="D50" s="72"/>
      <c r="E50" s="72">
        <f>SQRT(D49+E49)</f>
        <v>2.079790221182567</v>
      </c>
      <c r="F50" s="72"/>
      <c r="G50" s="72">
        <f>SQRT(F49+G49)</f>
        <v>8.0397126046481873E-2</v>
      </c>
      <c r="H50" s="72"/>
      <c r="I50" s="72">
        <f>SQRT(H49+I49)</f>
        <v>100.2617936275324</v>
      </c>
      <c r="J50" s="72"/>
      <c r="K50" s="72">
        <f>SQRT(J49+K49)</f>
        <v>0.11491778698426812</v>
      </c>
      <c r="L50" s="72"/>
      <c r="M50" s="72">
        <f>SQRT(L49+M49)</f>
        <v>0.2236866991852503</v>
      </c>
      <c r="N50" s="72"/>
      <c r="O50" s="72">
        <f>SQRT(N49+O49)</f>
        <v>2.4568907217016571</v>
      </c>
      <c r="P50" s="72"/>
      <c r="Q50" s="72">
        <f>SQRT(P49+Q49)</f>
        <v>0.14423637994321986</v>
      </c>
    </row>
    <row r="51" spans="1:17" s="10" customFormat="1" x14ac:dyDescent="0.3">
      <c r="A51" t="s">
        <v>48</v>
      </c>
      <c r="B51" s="72"/>
      <c r="C51" s="77">
        <f>C50/C36</f>
        <v>0.3410581650038324</v>
      </c>
      <c r="D51" s="72"/>
      <c r="E51" s="77">
        <f>E50/E36</f>
        <v>3.1560786629793003E-2</v>
      </c>
      <c r="F51" s="72"/>
      <c r="G51" s="77">
        <f>G50/G36</f>
        <v>6.6298016445894434E-2</v>
      </c>
      <c r="H51" s="72"/>
      <c r="I51" s="77">
        <f>I50/I36</f>
        <v>1.550710867197955</v>
      </c>
      <c r="J51" s="72"/>
      <c r="K51" s="77">
        <f>K50/K36</f>
        <v>0.1673249634737308</v>
      </c>
      <c r="L51" s="72"/>
      <c r="M51" s="77">
        <f>M50/M36</f>
        <v>0.26857655700839617</v>
      </c>
      <c r="N51" s="72"/>
      <c r="O51" s="77">
        <f>O50/O36</f>
        <v>3.911966061373346E-2</v>
      </c>
      <c r="P51" s="72"/>
      <c r="Q51" s="77">
        <f>Q50/Q36</f>
        <v>9.3653159921107426E-2</v>
      </c>
    </row>
    <row r="52" spans="1:17" s="10" customFormat="1" x14ac:dyDescent="0.3">
      <c r="A52"/>
      <c r="B52" s="72"/>
      <c r="C52" s="144"/>
      <c r="D52" s="72"/>
      <c r="E52" s="144"/>
      <c r="F52" s="72"/>
      <c r="G52" s="144"/>
      <c r="H52" s="72"/>
      <c r="I52" s="144"/>
      <c r="J52" s="72"/>
      <c r="K52" s="144"/>
      <c r="L52" s="72"/>
      <c r="M52" s="144"/>
      <c r="N52" s="72"/>
      <c r="O52" s="144"/>
      <c r="P52" s="72"/>
      <c r="Q52" s="144"/>
    </row>
    <row r="53" spans="1:17" s="10" customFormat="1" x14ac:dyDescent="0.3">
      <c r="A53" t="s">
        <v>89</v>
      </c>
      <c r="B53" s="72">
        <f>MEDIAN(B50:C50)</f>
        <v>0.30395077371604251</v>
      </c>
      <c r="C53" s="144"/>
      <c r="D53" s="72">
        <f>MEDIAN(D50:E50)</f>
        <v>2.079790221182567</v>
      </c>
      <c r="E53" s="144"/>
      <c r="F53" s="72">
        <f>MEDIAN(F50:G50)</f>
        <v>8.0397126046481873E-2</v>
      </c>
      <c r="G53" s="144"/>
      <c r="H53" s="72">
        <f>MEDIAN(H50:I50)</f>
        <v>100.2617936275324</v>
      </c>
      <c r="I53" s="144"/>
      <c r="J53" s="72">
        <f>MEDIAN(J50:K50)</f>
        <v>0.11491778698426812</v>
      </c>
      <c r="K53" s="144"/>
      <c r="L53" s="72">
        <f>MEDIAN(L50:M50)</f>
        <v>0.2236866991852503</v>
      </c>
      <c r="M53" s="144"/>
      <c r="N53" s="72">
        <f>MEDIAN(N50:O50)</f>
        <v>2.4568907217016571</v>
      </c>
      <c r="O53" s="144"/>
      <c r="P53" s="72">
        <f>MEDIAN(P50:Q50)</f>
        <v>0.14423637994321986</v>
      </c>
      <c r="Q53" s="144"/>
    </row>
    <row r="54" spans="1:17" s="10" customFormat="1" x14ac:dyDescent="0.3">
      <c r="A54" t="s">
        <v>81</v>
      </c>
      <c r="B54" s="72">
        <f>AVERAGE(B50:C50)</f>
        <v>0.30395077371604251</v>
      </c>
      <c r="C54" s="144"/>
      <c r="D54" s="72">
        <f>AVERAGE(D50:E50)</f>
        <v>2.079790221182567</v>
      </c>
      <c r="E54" s="144"/>
      <c r="F54" s="72">
        <f>AVERAGE(F50:G50)</f>
        <v>8.0397126046481873E-2</v>
      </c>
      <c r="G54" s="144"/>
      <c r="H54" s="72">
        <f>AVERAGE(H50:I50)</f>
        <v>100.2617936275324</v>
      </c>
      <c r="I54" s="144"/>
      <c r="J54" s="72">
        <f>AVERAGE(J50:K50)</f>
        <v>0.11491778698426812</v>
      </c>
      <c r="K54" s="144"/>
      <c r="L54" s="72">
        <f>AVERAGE(L50:M50)</f>
        <v>0.2236866991852503</v>
      </c>
      <c r="M54" s="144"/>
      <c r="N54" s="72">
        <f>AVERAGE(N50:O50)</f>
        <v>2.4568907217016571</v>
      </c>
      <c r="O54" s="144"/>
      <c r="P54" s="72">
        <f>AVERAGE(P50:Q50)</f>
        <v>0.14423637994321986</v>
      </c>
      <c r="Q54" s="144"/>
    </row>
    <row r="55" spans="1:17" s="10" customFormat="1" x14ac:dyDescent="0.3">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row>
    <row r="56" spans="1:17" s="10" customFormat="1" x14ac:dyDescent="0.3">
      <c r="A56" t="s">
        <v>83</v>
      </c>
      <c r="B56" s="72"/>
      <c r="C56" s="144"/>
      <c r="D56" s="72"/>
      <c r="E56" s="144"/>
      <c r="F56" s="72"/>
      <c r="G56" s="144"/>
      <c r="H56" s="72"/>
      <c r="I56" s="144"/>
      <c r="J56" s="72"/>
      <c r="K56" s="144"/>
      <c r="L56" s="72"/>
      <c r="M56" s="144"/>
      <c r="N56" s="72"/>
      <c r="O56" s="144"/>
      <c r="P56" s="72"/>
      <c r="Q56" s="144"/>
    </row>
    <row r="57" spans="1:17" s="10" customFormat="1" x14ac:dyDescent="0.3">
      <c r="A57"/>
      <c r="B57" s="72"/>
      <c r="C57" s="72"/>
      <c r="D57" s="72"/>
      <c r="E57" s="72"/>
      <c r="F57" s="72"/>
      <c r="G57" s="72"/>
      <c r="H57" s="72"/>
      <c r="I57" s="72"/>
      <c r="J57" s="72"/>
      <c r="K57" s="72"/>
      <c r="L57" s="72"/>
      <c r="M57" s="72"/>
      <c r="N57" s="72"/>
      <c r="O57" s="72"/>
      <c r="P57" s="72"/>
      <c r="Q57" s="72"/>
    </row>
    <row r="58" spans="1:17" s="10" customFormat="1" x14ac:dyDescent="0.3">
      <c r="B58" s="139"/>
      <c r="C58" s="139"/>
      <c r="D58" s="139"/>
      <c r="E58" s="139"/>
      <c r="F58" s="139"/>
      <c r="G58" s="139"/>
      <c r="H58" s="139"/>
      <c r="I58" s="139"/>
      <c r="N58" s="139"/>
      <c r="O58" s="139"/>
    </row>
    <row r="59" spans="1:17" s="118" customFormat="1" x14ac:dyDescent="0.3">
      <c r="A59" s="359" t="s">
        <v>115</v>
      </c>
      <c r="B59" s="361">
        <f>AVERAGE(C36,G36)</f>
        <v>1.0519309224364393</v>
      </c>
      <c r="C59" s="362">
        <f>B59-C16</f>
        <v>-0.12206907756356067</v>
      </c>
      <c r="D59" s="365" t="s">
        <v>462</v>
      </c>
      <c r="E59" s="362"/>
      <c r="F59" s="361"/>
      <c r="G59" s="362"/>
      <c r="I59" s="359" t="s">
        <v>115</v>
      </c>
      <c r="J59" s="361">
        <f>AVERAGE(K36,M36)</f>
        <v>0.75982706995868088</v>
      </c>
      <c r="K59" s="362">
        <f>J59-K16</f>
        <v>0.10182706995868085</v>
      </c>
      <c r="L59" s="365" t="s">
        <v>462</v>
      </c>
      <c r="O59" s="141"/>
      <c r="P59" s="365"/>
    </row>
    <row r="60" spans="1:17" s="118" customFormat="1" x14ac:dyDescent="0.3">
      <c r="A60" s="360" t="s">
        <v>116</v>
      </c>
      <c r="B60" s="361">
        <f>STDEV(C36,G36)</f>
        <v>0.22730894067611804</v>
      </c>
      <c r="C60" s="363">
        <f>B60/SQRT(2)</f>
        <v>0.16073169337641369</v>
      </c>
      <c r="D60" s="358" t="s">
        <v>463</v>
      </c>
      <c r="E60" s="363"/>
      <c r="F60" s="361"/>
      <c r="G60" s="363"/>
      <c r="I60" s="360" t="s">
        <v>116</v>
      </c>
      <c r="J60" s="361">
        <f>STDEV(K36,M36)</f>
        <v>0.10328430715442553</v>
      </c>
      <c r="K60" s="363">
        <f>J60/SQRT(2)</f>
        <v>7.3033033979048534E-2</v>
      </c>
      <c r="L60" s="358" t="s">
        <v>463</v>
      </c>
      <c r="P60" s="358"/>
    </row>
    <row r="61" spans="1:17" s="118" customFormat="1" x14ac:dyDescent="0.3">
      <c r="A61" s="360" t="s">
        <v>117</v>
      </c>
      <c r="B61" s="361">
        <f>AVERAGE(C42,G42)</f>
        <v>150.44882886072463</v>
      </c>
      <c r="C61" s="364">
        <f>B61-C17</f>
        <v>1.4288288607246216</v>
      </c>
      <c r="D61" s="365" t="s">
        <v>462</v>
      </c>
      <c r="E61" s="364"/>
      <c r="F61" s="361"/>
      <c r="G61" s="364"/>
      <c r="I61" s="360" t="s">
        <v>117</v>
      </c>
      <c r="J61" s="361">
        <f>AVERAGE(K42,M42)</f>
        <v>195.50009741792113</v>
      </c>
      <c r="K61" s="364">
        <f>J61-K17</f>
        <v>-0.65990258207887109</v>
      </c>
      <c r="L61" s="365" t="s">
        <v>462</v>
      </c>
      <c r="P61" s="365"/>
    </row>
    <row r="62" spans="1:17" s="118" customFormat="1" x14ac:dyDescent="0.3">
      <c r="A62" s="360" t="s">
        <v>118</v>
      </c>
      <c r="B62" s="361">
        <f>STDEV(C42,G42)</f>
        <v>6.8083687608287606</v>
      </c>
      <c r="C62" s="363">
        <f>B62/SQRT(2)</f>
        <v>4.8142437196006682</v>
      </c>
      <c r="D62" s="358" t="s">
        <v>463</v>
      </c>
      <c r="E62" s="363"/>
      <c r="F62" s="361"/>
      <c r="G62" s="363"/>
      <c r="I62" s="360" t="s">
        <v>118</v>
      </c>
      <c r="J62" s="361">
        <f>STDEV(K42,M42)</f>
        <v>14.358295839444072</v>
      </c>
      <c r="K62" s="363">
        <f>J62/SQRT(2)</f>
        <v>10.152848354353495</v>
      </c>
      <c r="L62" s="358" t="s">
        <v>463</v>
      </c>
      <c r="P62" s="358"/>
    </row>
  </sheetData>
  <mergeCells count="8">
    <mergeCell ref="L10:M10"/>
    <mergeCell ref="N10:O10"/>
    <mergeCell ref="P10:Q10"/>
    <mergeCell ref="B10:C10"/>
    <mergeCell ref="D10:E10"/>
    <mergeCell ref="F10:G10"/>
    <mergeCell ref="H10:I10"/>
    <mergeCell ref="J10:K10"/>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zoomScale="80" zoomScaleNormal="80" workbookViewId="0">
      <pane xSplit="1" ySplit="2" topLeftCell="B45" activePane="bottomRight" state="frozenSplit"/>
      <selection pane="topRight"/>
      <selection pane="bottomLeft" activeCell="A3" sqref="A3"/>
      <selection pane="bottomRight" activeCell="A59" sqref="A59:E63"/>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s>
  <sheetData>
    <row r="1" spans="1:10" s="19" customFormat="1" x14ac:dyDescent="0.3">
      <c r="A1" s="20" t="s">
        <v>39</v>
      </c>
      <c r="B1" s="20"/>
      <c r="C1" s="20"/>
      <c r="D1" s="20"/>
      <c r="E1" s="20"/>
      <c r="F1" s="20"/>
      <c r="G1" s="20"/>
    </row>
    <row r="2" spans="1:10" s="371" customFormat="1" x14ac:dyDescent="0.3">
      <c r="C2" s="371" t="s">
        <v>486</v>
      </c>
      <c r="E2" s="371" t="s">
        <v>487</v>
      </c>
      <c r="G2" s="371" t="s">
        <v>488</v>
      </c>
      <c r="J2" s="371" t="s">
        <v>491</v>
      </c>
    </row>
    <row r="3" spans="1:10" s="371" customFormat="1" x14ac:dyDescent="0.3">
      <c r="B3" s="371" t="s">
        <v>446</v>
      </c>
      <c r="C3" s="371" t="s">
        <v>447</v>
      </c>
      <c r="F3" s="371" t="s">
        <v>446</v>
      </c>
      <c r="G3" s="371" t="s">
        <v>447</v>
      </c>
    </row>
    <row r="4" spans="1:10" x14ac:dyDescent="0.3">
      <c r="A4" t="s">
        <v>1</v>
      </c>
      <c r="B4" s="350">
        <v>428.26799999999997</v>
      </c>
      <c r="C4" s="350">
        <v>555.59699999999998</v>
      </c>
      <c r="D4" s="350">
        <v>522.32100000000003</v>
      </c>
      <c r="E4" s="350">
        <v>612.39700000000005</v>
      </c>
      <c r="F4" s="350">
        <v>151</v>
      </c>
      <c r="G4" s="350">
        <v>614</v>
      </c>
      <c r="I4" s="350">
        <v>133</v>
      </c>
      <c r="J4" s="350">
        <v>609</v>
      </c>
    </row>
    <row r="5" spans="1:10" x14ac:dyDescent="0.3">
      <c r="A5" t="s">
        <v>2</v>
      </c>
      <c r="B5" s="350">
        <v>409.411</v>
      </c>
      <c r="C5" s="350">
        <v>548.84699999999998</v>
      </c>
      <c r="D5" s="350">
        <v>530.59299999999996</v>
      </c>
      <c r="E5" s="350">
        <v>593.89300000000003</v>
      </c>
      <c r="F5" s="350">
        <v>653</v>
      </c>
      <c r="G5" s="350">
        <v>678</v>
      </c>
      <c r="I5" s="350">
        <v>664</v>
      </c>
      <c r="J5" s="350">
        <v>680</v>
      </c>
    </row>
    <row r="6" spans="1:10" x14ac:dyDescent="0.3">
      <c r="A6" t="s">
        <v>4</v>
      </c>
      <c r="B6">
        <f t="shared" ref="B6:E6" si="0">B5-B4</f>
        <v>-18.856999999999971</v>
      </c>
      <c r="C6">
        <f t="shared" si="0"/>
        <v>-6.75</v>
      </c>
      <c r="D6">
        <f t="shared" si="0"/>
        <v>8.2719999999999345</v>
      </c>
      <c r="E6">
        <f t="shared" si="0"/>
        <v>-18.504000000000019</v>
      </c>
      <c r="F6">
        <f t="shared" ref="F6:G6" si="1">F5-F4</f>
        <v>502</v>
      </c>
      <c r="G6">
        <f t="shared" si="1"/>
        <v>64</v>
      </c>
    </row>
    <row r="7" spans="1:10" x14ac:dyDescent="0.3">
      <c r="A7" t="s">
        <v>5</v>
      </c>
      <c r="B7">
        <f t="shared" ref="B7:E7" si="2">B6^2</f>
        <v>355.58644899999888</v>
      </c>
      <c r="C7">
        <f t="shared" si="2"/>
        <v>45.5625</v>
      </c>
      <c r="D7">
        <f t="shared" si="2"/>
        <v>68.42598399999892</v>
      </c>
      <c r="E7">
        <f t="shared" si="2"/>
        <v>342.39801600000072</v>
      </c>
      <c r="F7">
        <f t="shared" ref="F7:G7" si="3">F6^2</f>
        <v>252004</v>
      </c>
      <c r="G7">
        <f t="shared" si="3"/>
        <v>4096</v>
      </c>
    </row>
    <row r="8" spans="1:10" x14ac:dyDescent="0.3">
      <c r="A8" t="s">
        <v>6</v>
      </c>
      <c r="C8">
        <f>SQRT(SUM(B7:C7))</f>
        <v>20.028703128260673</v>
      </c>
      <c r="E8">
        <f>SQRT(SUM(D7:E7))</f>
        <v>20.268793748025551</v>
      </c>
      <c r="G8">
        <f>SQRT(SUM(F7:G7))</f>
        <v>506.06323715519983</v>
      </c>
    </row>
    <row r="9" spans="1:10" x14ac:dyDescent="0.3">
      <c r="A9" t="s">
        <v>7</v>
      </c>
      <c r="C9">
        <f>MOD(ATAN2(C6,B6)*180/PI()+270,360)</f>
        <v>160.30480340391347</v>
      </c>
      <c r="E9">
        <f>MOD(ATAN2(E6,D6)*180/PI()+270,360)</f>
        <v>65.9135192302939</v>
      </c>
      <c r="G9">
        <f>MOD(ATAN2(G6,F6)*180/PI()+270,360)</f>
        <v>352.73455310016089</v>
      </c>
    </row>
    <row r="10" spans="1:10" s="372" customFormat="1" ht="117" customHeight="1" x14ac:dyDescent="0.3">
      <c r="A10" s="16" t="s">
        <v>40</v>
      </c>
      <c r="B10" s="393" t="s">
        <v>489</v>
      </c>
      <c r="C10" s="393"/>
      <c r="D10" s="393" t="s">
        <v>489</v>
      </c>
      <c r="E10" s="393"/>
      <c r="F10" s="393" t="s">
        <v>490</v>
      </c>
      <c r="G10" s="393"/>
    </row>
    <row r="11" spans="1:10" s="19" customFormat="1" x14ac:dyDescent="0.3">
      <c r="A11" s="20" t="s">
        <v>37</v>
      </c>
      <c r="B11" s="20"/>
      <c r="C11" s="20"/>
      <c r="D11" s="20"/>
      <c r="E11" s="20"/>
      <c r="F11" s="20"/>
      <c r="G11" s="20"/>
    </row>
    <row r="12" spans="1:10" s="1" customFormat="1" x14ac:dyDescent="0.3">
      <c r="B12" s="6"/>
      <c r="D12" s="6"/>
      <c r="F12" s="6"/>
    </row>
    <row r="13" spans="1:10" x14ac:dyDescent="0.3">
      <c r="A13" t="s">
        <v>18</v>
      </c>
      <c r="B13" s="5"/>
      <c r="C13" s="2"/>
      <c r="D13" s="5"/>
      <c r="E13" s="2"/>
      <c r="F13" s="5"/>
      <c r="G13" s="2"/>
    </row>
    <row r="14" spans="1:10" x14ac:dyDescent="0.3">
      <c r="A14" t="s">
        <v>17</v>
      </c>
      <c r="B14" s="5"/>
      <c r="C14" s="2"/>
      <c r="D14" s="5"/>
      <c r="E14" s="2"/>
      <c r="F14" s="5"/>
      <c r="G14" s="2"/>
    </row>
    <row r="15" spans="1:10" x14ac:dyDescent="0.3">
      <c r="A15" t="s">
        <v>14</v>
      </c>
      <c r="B15" s="5"/>
      <c r="C15" s="5"/>
      <c r="D15" s="5"/>
      <c r="E15" s="5"/>
      <c r="F15" s="5"/>
      <c r="G15" s="5"/>
    </row>
    <row r="16" spans="1:10" x14ac:dyDescent="0.3">
      <c r="A16" t="s">
        <v>13</v>
      </c>
      <c r="B16" s="4"/>
      <c r="C16" s="350">
        <v>2.3809999999999998</v>
      </c>
      <c r="D16" s="4"/>
      <c r="E16" s="350">
        <v>2.2879999999999998</v>
      </c>
      <c r="F16" s="4"/>
      <c r="G16" s="111">
        <f>5*15.0412*COS((38+47/60+5/3600)*PI()/180)</f>
        <v>58.623454502449981</v>
      </c>
    </row>
    <row r="17" spans="1:7" x14ac:dyDescent="0.3">
      <c r="A17" t="s">
        <v>7</v>
      </c>
      <c r="C17" s="350">
        <v>76.64</v>
      </c>
      <c r="E17" s="350">
        <v>346.41</v>
      </c>
      <c r="G17" s="63">
        <v>-90</v>
      </c>
    </row>
    <row r="18" spans="1:7" x14ac:dyDescent="0.3">
      <c r="A18" t="s">
        <v>32</v>
      </c>
      <c r="B18" s="9">
        <f>-C16*SIN((C17)/180*PI())</f>
        <v>-2.3165640248650901</v>
      </c>
      <c r="C18" s="9">
        <f>C16*COS((C17)/180*PI())</f>
        <v>0.55017462564249031</v>
      </c>
      <c r="D18" s="9">
        <f>-E16*SIN((E17)/180*PI())</f>
        <v>0.53761701210456325</v>
      </c>
      <c r="E18" s="9">
        <f>E16*COS((E17)/180*PI())</f>
        <v>2.2239406350655497</v>
      </c>
      <c r="F18" s="9">
        <f>-G16*SIN((G17)/180*PI())</f>
        <v>58.623454502449981</v>
      </c>
      <c r="G18" s="9">
        <f>G16*COS((G17)/180*PI())</f>
        <v>3.5911217352541185E-15</v>
      </c>
    </row>
    <row r="19" spans="1:7" s="370" customFormat="1" ht="69" customHeight="1" x14ac:dyDescent="0.3">
      <c r="A19" s="15" t="s">
        <v>40</v>
      </c>
      <c r="B19" s="369"/>
      <c r="C19" s="369"/>
      <c r="D19" s="369"/>
      <c r="E19" s="369"/>
      <c r="F19" s="369"/>
      <c r="G19" s="369"/>
    </row>
    <row r="20" spans="1:7" s="19" customFormat="1" x14ac:dyDescent="0.3">
      <c r="A20" s="18" t="s">
        <v>38</v>
      </c>
    </row>
    <row r="21" spans="1:7" x14ac:dyDescent="0.3">
      <c r="A21" s="7" t="s">
        <v>65</v>
      </c>
      <c r="C21">
        <f>C16/C8</f>
        <v>0.11887938948180765</v>
      </c>
      <c r="E21">
        <f>E16/E8</f>
        <v>0.11288288925545366</v>
      </c>
      <c r="G21">
        <f>G16/G8</f>
        <v>0.11584215212311756</v>
      </c>
    </row>
    <row r="22" spans="1:7" x14ac:dyDescent="0.3">
      <c r="A22" t="s">
        <v>34</v>
      </c>
    </row>
    <row r="23" spans="1:7" x14ac:dyDescent="0.3">
      <c r="A23" t="s">
        <v>35</v>
      </c>
    </row>
    <row r="24" spans="1:7" x14ac:dyDescent="0.3">
      <c r="A24" s="7" t="s">
        <v>64</v>
      </c>
      <c r="C24">
        <f>MOD(C9-C17,360)</f>
        <v>83.664803403913467</v>
      </c>
      <c r="E24">
        <f>MOD(E9-E17,360)</f>
        <v>79.503519230293875</v>
      </c>
      <c r="G24">
        <f>MOD(G9-G17,360)</f>
        <v>82.734553100160895</v>
      </c>
    </row>
    <row r="25" spans="1:7" x14ac:dyDescent="0.3">
      <c r="A25" t="s">
        <v>36</v>
      </c>
    </row>
    <row r="26" spans="1:7" x14ac:dyDescent="0.3">
      <c r="A26" t="s">
        <v>35</v>
      </c>
    </row>
    <row r="27" spans="1:7" x14ac:dyDescent="0.3">
      <c r="A27" t="s">
        <v>67</v>
      </c>
      <c r="C27">
        <f>SQRT(C16)</f>
        <v>1.5430489298787644</v>
      </c>
      <c r="E27">
        <f>SQRT(E16)</f>
        <v>1.5126136320951229</v>
      </c>
      <c r="G27">
        <f>SQRT(G16)</f>
        <v>7.656595490324011</v>
      </c>
    </row>
    <row r="28" spans="1:7" x14ac:dyDescent="0.3">
      <c r="A28" t="s">
        <v>68</v>
      </c>
      <c r="C28">
        <f>C27*C21</f>
        <v>0.18343671472454415</v>
      </c>
      <c r="E28">
        <f>E27*E21</f>
        <v>0.17074819711808328</v>
      </c>
      <c r="G28">
        <f>G27*G21</f>
        <v>0.88695649953528999</v>
      </c>
    </row>
    <row r="29" spans="1:7" x14ac:dyDescent="0.3">
      <c r="A29" s="288" t="s">
        <v>69</v>
      </c>
      <c r="B29" s="118" t="s">
        <v>357</v>
      </c>
      <c r="C29" s="139">
        <f>SUM(B28:G28)/SUM(B27:G27)</f>
        <v>0.11586179172669191</v>
      </c>
      <c r="D29" s="118" t="s">
        <v>357</v>
      </c>
      <c r="E29" s="139">
        <f>SUM(D28:G28)/SUM(D27:G27)</f>
        <v>0.11535397246718228</v>
      </c>
      <c r="F29" s="118"/>
      <c r="G29" s="139"/>
    </row>
    <row r="30" spans="1:7" x14ac:dyDescent="0.3">
      <c r="A30" t="s">
        <v>72</v>
      </c>
      <c r="C30" s="7">
        <f>C21-$C29</f>
        <v>3.0175977551157446E-3</v>
      </c>
      <c r="E30" s="7">
        <f>E21-$C29</f>
        <v>-2.9789024712382484E-3</v>
      </c>
      <c r="G30" s="7">
        <f>G21-$C29</f>
        <v>-1.9639603574345132E-5</v>
      </c>
    </row>
    <row r="31" spans="1:7" x14ac:dyDescent="0.3">
      <c r="A31" t="s">
        <v>70</v>
      </c>
      <c r="C31">
        <f>C27*C24</f>
        <v>129.09888536092589</v>
      </c>
      <c r="E31">
        <f>E27*E24</f>
        <v>120.25810698727926</v>
      </c>
      <c r="G31">
        <f>G27*G24</f>
        <v>633.4650061606643</v>
      </c>
    </row>
    <row r="32" spans="1:7" x14ac:dyDescent="0.3">
      <c r="A32" s="288" t="s">
        <v>71</v>
      </c>
      <c r="B32" s="118" t="s">
        <v>357</v>
      </c>
      <c r="C32" s="139">
        <f>MOD(SUM(B31:E31)/SUM(B27:E27),360)</f>
        <v>81.604885124202426</v>
      </c>
      <c r="D32" s="118" t="s">
        <v>357</v>
      </c>
      <c r="E32" s="139">
        <f>MOD(SUM(D31:G31)/SUM(D27:G27),360)</f>
        <v>82.201540294795578</v>
      </c>
      <c r="F32" s="118"/>
      <c r="G32" s="139"/>
    </row>
    <row r="33" spans="1:7" x14ac:dyDescent="0.3">
      <c r="A33" t="s">
        <v>73</v>
      </c>
      <c r="C33" s="7">
        <f>C24-$C32</f>
        <v>2.0599182797110416</v>
      </c>
      <c r="E33" s="7">
        <f>E24-$C32</f>
        <v>-2.1013658939085502</v>
      </c>
      <c r="G33" s="7">
        <f>G24-$C32</f>
        <v>1.1296679759584691</v>
      </c>
    </row>
    <row r="34" spans="1:7" s="370" customFormat="1" ht="75.75" customHeight="1" x14ac:dyDescent="0.3">
      <c r="A34" s="15" t="s">
        <v>40</v>
      </c>
    </row>
    <row r="35" spans="1:7" s="19" customFormat="1" x14ac:dyDescent="0.3">
      <c r="A35" s="20" t="s">
        <v>54</v>
      </c>
      <c r="B35" s="20"/>
      <c r="C35" s="20"/>
      <c r="D35" s="20"/>
      <c r="E35" s="20"/>
      <c r="F35" s="20"/>
      <c r="G35" s="20"/>
    </row>
    <row r="36" spans="1:7" x14ac:dyDescent="0.3">
      <c r="A36" s="7" t="s">
        <v>42</v>
      </c>
      <c r="B36" s="118"/>
      <c r="C36" s="147">
        <f>C8*$C29</f>
        <v>2.3205614304022806</v>
      </c>
      <c r="D36" s="118"/>
      <c r="E36" s="147">
        <f>E8*$C29</f>
        <v>2.3483787597850116</v>
      </c>
      <c r="F36" s="118"/>
      <c r="G36" s="147">
        <f>G8*$C29</f>
        <v>58.633393383811253</v>
      </c>
    </row>
    <row r="37" spans="1:7" x14ac:dyDescent="0.3">
      <c r="A37" t="s">
        <v>50</v>
      </c>
      <c r="B37" s="118"/>
      <c r="C37" s="141">
        <f>C36-C16</f>
        <v>-6.0438569597719205E-2</v>
      </c>
      <c r="D37" s="118"/>
      <c r="E37" s="141">
        <f>E36-E16</f>
        <v>6.0378759785011837E-2</v>
      </c>
      <c r="F37" s="118"/>
      <c r="G37" s="141">
        <f>G36-G16</f>
        <v>9.9388813612719673E-3</v>
      </c>
    </row>
    <row r="38" spans="1:7" x14ac:dyDescent="0.3">
      <c r="A38" t="s">
        <v>51</v>
      </c>
      <c r="B38" s="118"/>
      <c r="C38" s="142">
        <f>C37/C16</f>
        <v>-2.5383691557210923E-2</v>
      </c>
      <c r="D38" s="118"/>
      <c r="E38" s="142">
        <f>E37/E16</f>
        <v>2.6389318087854826E-2</v>
      </c>
      <c r="F38" s="118"/>
      <c r="G38" s="142">
        <f>G37/G16</f>
        <v>1.6953762697243649E-4</v>
      </c>
    </row>
    <row r="39" spans="1:7" x14ac:dyDescent="0.3">
      <c r="A39" t="s">
        <v>53</v>
      </c>
      <c r="B39" s="118">
        <f>AVERAGE(B37:C37)</f>
        <v>-6.0438569597719205E-2</v>
      </c>
      <c r="C39" s="142">
        <f>AVERAGE(C38:C38)</f>
        <v>-2.5383691557210923E-2</v>
      </c>
      <c r="D39" s="118">
        <f>AVERAGE(D37:E37)</f>
        <v>6.0378759785011837E-2</v>
      </c>
      <c r="E39" s="142">
        <f>AVERAGE(E38:E38)</f>
        <v>2.6389318087854826E-2</v>
      </c>
      <c r="F39" s="118">
        <f>AVERAGE(F37:G37)</f>
        <v>9.9388813612719673E-3</v>
      </c>
      <c r="G39" s="142">
        <f>AVERAGE(G38:G38)</f>
        <v>1.6953762697243649E-4</v>
      </c>
    </row>
    <row r="40" spans="1:7" x14ac:dyDescent="0.3">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
      <c r="B41" s="118"/>
      <c r="C41" s="142"/>
      <c r="D41" s="118"/>
      <c r="E41" s="142"/>
      <c r="F41" s="118"/>
      <c r="G41" s="142"/>
    </row>
    <row r="42" spans="1:7" x14ac:dyDescent="0.3">
      <c r="A42" s="7" t="s">
        <v>43</v>
      </c>
      <c r="B42" s="118"/>
      <c r="C42" s="141">
        <f>MOD(C9-$C32,360)</f>
        <v>78.699918279711042</v>
      </c>
      <c r="D42" s="118"/>
      <c r="E42" s="141">
        <f>MOD(E9-$C32,360)</f>
        <v>344.30863410609146</v>
      </c>
      <c r="F42" s="118"/>
      <c r="G42" s="141">
        <f>MOD(G9-$C32,360)</f>
        <v>271.12966797595845</v>
      </c>
    </row>
    <row r="43" spans="1:7" x14ac:dyDescent="0.3">
      <c r="A43" t="s">
        <v>55</v>
      </c>
      <c r="B43" s="118"/>
      <c r="C43" s="141">
        <f>C42-C17</f>
        <v>2.0599182797110416</v>
      </c>
      <c r="D43" s="118"/>
      <c r="E43" s="141">
        <f>E42-E17</f>
        <v>-2.1013658939085644</v>
      </c>
      <c r="F43" s="118"/>
      <c r="G43" s="141">
        <f>G42-G17</f>
        <v>361.12966797595845</v>
      </c>
    </row>
    <row r="44" spans="1:7" x14ac:dyDescent="0.3">
      <c r="A44" t="s">
        <v>56</v>
      </c>
      <c r="B44" s="118">
        <f>AVERAGE(B43:C43)</f>
        <v>2.0599182797110416</v>
      </c>
      <c r="C44" s="141"/>
      <c r="D44" s="118">
        <f>AVERAGE(D43:E43)</f>
        <v>-2.1013658939085644</v>
      </c>
      <c r="E44" s="141"/>
      <c r="F44" s="118">
        <f>AVERAGE(F43:G43)</f>
        <v>361.12966797595845</v>
      </c>
      <c r="G44" s="141"/>
    </row>
    <row r="45" spans="1:7" x14ac:dyDescent="0.3">
      <c r="A45" t="s">
        <v>57</v>
      </c>
      <c r="B45" s="118" t="e">
        <f>STDEV(B43:C43)</f>
        <v>#DIV/0!</v>
      </c>
      <c r="C45" s="141"/>
      <c r="D45" s="118" t="e">
        <f>STDEV(D43:E43)</f>
        <v>#DIV/0!</v>
      </c>
      <c r="E45" s="141"/>
      <c r="F45" s="118" t="e">
        <f>STDEV(F43:G43)</f>
        <v>#DIV/0!</v>
      </c>
      <c r="G45" s="141"/>
    </row>
    <row r="46" spans="1:7" x14ac:dyDescent="0.3">
      <c r="B46" s="118"/>
      <c r="C46" s="141"/>
      <c r="D46" s="118"/>
      <c r="E46" s="141"/>
      <c r="F46" s="118"/>
      <c r="G46" s="141"/>
    </row>
    <row r="47" spans="1:7" x14ac:dyDescent="0.3">
      <c r="A47" t="s">
        <v>44</v>
      </c>
      <c r="B47" s="72">
        <f>-C36*SIN((C42)/180*PI())</f>
        <v>-2.2755759061676311</v>
      </c>
      <c r="C47" s="72">
        <f>C36*COS((C42)/180*PI())</f>
        <v>0.45470831039254495</v>
      </c>
      <c r="D47" s="72">
        <f>-E36*SIN((E42)/180*PI())</f>
        <v>0.63513164975698455</v>
      </c>
      <c r="E47" s="72">
        <f>E36*COS((E42)/180*PI())</f>
        <v>2.2608605854599615</v>
      </c>
      <c r="F47" s="72">
        <f>-G36*SIN((G42)/180*PI())</f>
        <v>58.621997255377785</v>
      </c>
      <c r="G47" s="72">
        <f>G36*COS((G42)/180*PI())</f>
        <v>1.1559660424253217</v>
      </c>
    </row>
    <row r="48" spans="1:7" s="10" customFormat="1" x14ac:dyDescent="0.3">
      <c r="A48" t="s">
        <v>45</v>
      </c>
      <c r="B48" s="72">
        <f t="shared" ref="B48:C48" si="4">B47-B18</f>
        <v>4.0988118697458997E-2</v>
      </c>
      <c r="C48" s="72">
        <f t="shared" si="4"/>
        <v>-9.5466315249945366E-2</v>
      </c>
      <c r="D48" s="72">
        <f t="shared" ref="D48:G48" si="5">D47-D18</f>
        <v>9.7514637652421299E-2</v>
      </c>
      <c r="E48" s="72">
        <f t="shared" si="5"/>
        <v>3.691995039441176E-2</v>
      </c>
      <c r="F48" s="72">
        <f t="shared" si="5"/>
        <v>-1.4572470721958553E-3</v>
      </c>
      <c r="G48" s="72">
        <f t="shared" si="5"/>
        <v>1.1559660424253182</v>
      </c>
    </row>
    <row r="49" spans="1:7" x14ac:dyDescent="0.3">
      <c r="A49" t="s">
        <v>46</v>
      </c>
      <c r="B49" s="118">
        <f t="shared" ref="B49:C49" si="6">B48^2</f>
        <v>1.6800258743569878E-3</v>
      </c>
      <c r="C49" s="118">
        <f t="shared" si="6"/>
        <v>9.1138173474019507E-3</v>
      </c>
      <c r="D49" s="118">
        <f t="shared" ref="D49:G49" si="7">D48^2</f>
        <v>9.509104556483022E-3</v>
      </c>
      <c r="E49" s="118">
        <f t="shared" si="7"/>
        <v>1.3630827371258251E-3</v>
      </c>
      <c r="F49" s="118">
        <f t="shared" si="7"/>
        <v>2.123569029423392E-6</v>
      </c>
      <c r="G49" s="118">
        <f t="shared" si="7"/>
        <v>1.3362574912404526</v>
      </c>
    </row>
    <row r="50" spans="1:7" s="10" customFormat="1" x14ac:dyDescent="0.3">
      <c r="A50" t="s">
        <v>47</v>
      </c>
      <c r="B50" s="72"/>
      <c r="C50" s="72">
        <f>SQRT(B49+C49)</f>
        <v>0.10389342241816341</v>
      </c>
      <c r="D50" s="72"/>
      <c r="E50" s="72">
        <f>SQRT(D49+E49)</f>
        <v>0.10426978130603731</v>
      </c>
      <c r="F50" s="72"/>
      <c r="G50" s="72">
        <f>SQRT(F49+G49)</f>
        <v>1.1559669609506502</v>
      </c>
    </row>
    <row r="51" spans="1:7" s="10" customFormat="1" x14ac:dyDescent="0.3">
      <c r="A51" t="s">
        <v>48</v>
      </c>
      <c r="B51" s="72"/>
      <c r="C51" s="77">
        <f>C50/C36</f>
        <v>4.4770813242445806E-2</v>
      </c>
      <c r="D51" s="72"/>
      <c r="E51" s="77">
        <f>E50/E36</f>
        <v>4.4400751314742325E-2</v>
      </c>
      <c r="F51" s="72"/>
      <c r="G51" s="77">
        <f>G50/G36</f>
        <v>1.9715163906406517E-2</v>
      </c>
    </row>
    <row r="52" spans="1:7" s="10" customFormat="1" x14ac:dyDescent="0.3">
      <c r="A52"/>
      <c r="B52" s="72"/>
      <c r="C52" s="144"/>
      <c r="D52" s="72"/>
      <c r="E52" s="144"/>
      <c r="F52" s="72"/>
      <c r="G52" s="144"/>
    </row>
    <row r="53" spans="1:7" s="10" customFormat="1" x14ac:dyDescent="0.3">
      <c r="A53" t="s">
        <v>89</v>
      </c>
      <c r="B53" s="72">
        <f>MEDIAN(B50:C50)</f>
        <v>0.10389342241816341</v>
      </c>
      <c r="C53" s="144"/>
      <c r="D53" s="72">
        <f>MEDIAN(D50:E50)</f>
        <v>0.10426978130603731</v>
      </c>
      <c r="E53" s="144"/>
      <c r="F53" s="72">
        <f>MEDIAN(F50:G50)</f>
        <v>1.1559669609506502</v>
      </c>
      <c r="G53" s="144"/>
    </row>
    <row r="54" spans="1:7" s="10" customFormat="1" x14ac:dyDescent="0.3">
      <c r="A54" t="s">
        <v>81</v>
      </c>
      <c r="B54" s="72">
        <f>AVERAGE(B50:C50)</f>
        <v>0.10389342241816341</v>
      </c>
      <c r="C54" s="144"/>
      <c r="D54" s="72">
        <f>AVERAGE(D50:E50)</f>
        <v>0.10426978130603731</v>
      </c>
      <c r="E54" s="144"/>
      <c r="F54" s="72">
        <f>AVERAGE(F50:G50)</f>
        <v>1.1559669609506502</v>
      </c>
      <c r="G54" s="144"/>
    </row>
    <row r="55" spans="1:7" s="10" customFormat="1" x14ac:dyDescent="0.3">
      <c r="A55" t="s">
        <v>82</v>
      </c>
      <c r="B55" s="72" t="e">
        <f>STDEV(B50:C50)</f>
        <v>#DIV/0!</v>
      </c>
      <c r="C55" s="144"/>
      <c r="D55" s="72" t="e">
        <f>STDEV(D50:E50)</f>
        <v>#DIV/0!</v>
      </c>
      <c r="E55" s="144"/>
      <c r="F55" s="72" t="e">
        <f>STDEV(F50:G50)</f>
        <v>#DIV/0!</v>
      </c>
      <c r="G55" s="144"/>
    </row>
    <row r="56" spans="1:7" s="10" customFormat="1" x14ac:dyDescent="0.3">
      <c r="A56" t="s">
        <v>83</v>
      </c>
      <c r="B56" s="72"/>
      <c r="C56" s="144"/>
      <c r="D56" s="72"/>
      <c r="E56" s="144"/>
      <c r="F56" s="72"/>
      <c r="G56" s="144"/>
    </row>
    <row r="57" spans="1:7" s="10" customFormat="1" x14ac:dyDescent="0.3">
      <c r="A57"/>
      <c r="B57" s="72"/>
      <c r="C57" s="72"/>
      <c r="D57" s="72"/>
      <c r="E57" s="72"/>
      <c r="F57" s="72"/>
      <c r="G57" s="72"/>
    </row>
    <row r="58" spans="1:7" s="10" customFormat="1" x14ac:dyDescent="0.3">
      <c r="B58" s="139"/>
      <c r="C58" s="139"/>
      <c r="D58" s="139"/>
      <c r="E58" s="139"/>
      <c r="F58" s="139"/>
      <c r="G58" s="139"/>
    </row>
    <row r="59" spans="1:7" s="118" customFormat="1" x14ac:dyDescent="0.3">
      <c r="A59" s="359"/>
      <c r="B59" s="361"/>
      <c r="C59" s="362"/>
      <c r="D59" s="365"/>
      <c r="E59" s="362"/>
      <c r="F59" s="361"/>
      <c r="G59" s="362"/>
    </row>
    <row r="60" spans="1:7" s="118" customFormat="1" x14ac:dyDescent="0.3">
      <c r="A60" s="360"/>
      <c r="B60" s="361"/>
      <c r="C60" s="363"/>
      <c r="D60" s="358"/>
      <c r="E60" s="363"/>
      <c r="F60" s="361"/>
      <c r="G60" s="363"/>
    </row>
    <row r="61" spans="1:7" s="118" customFormat="1" x14ac:dyDescent="0.3">
      <c r="A61" s="360"/>
      <c r="B61" s="361"/>
      <c r="C61" s="364"/>
      <c r="D61" s="365"/>
      <c r="E61" s="364"/>
      <c r="F61" s="361"/>
      <c r="G61" s="364"/>
    </row>
    <row r="62" spans="1:7" s="118" customFormat="1" x14ac:dyDescent="0.3">
      <c r="A62" s="360"/>
      <c r="B62" s="361"/>
      <c r="C62" s="363"/>
      <c r="D62" s="358"/>
      <c r="E62" s="363"/>
      <c r="F62" s="361"/>
      <c r="G62" s="363"/>
    </row>
  </sheetData>
  <mergeCells count="3">
    <mergeCell ref="B10:C10"/>
    <mergeCell ref="D10:E10"/>
    <mergeCell ref="F10:G10"/>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2"/>
  <sheetViews>
    <sheetView tabSelected="1" zoomScale="80" zoomScaleNormal="80" workbookViewId="0">
      <pane xSplit="1" ySplit="2" topLeftCell="Y3" activePane="bottomRight" state="frozenSplit"/>
      <selection pane="topRight"/>
      <selection pane="bottomLeft" activeCell="A3" sqref="A3"/>
      <selection pane="bottomRight" activeCell="Z10" sqref="Z10:AA10"/>
    </sheetView>
  </sheetViews>
  <sheetFormatPr defaultRowHeight="14.4" x14ac:dyDescent="0.3"/>
  <cols>
    <col min="1" max="1" width="25.5546875" customWidth="1"/>
    <col min="2" max="2" width="9.5546875" bestFit="1" customWidth="1"/>
    <col min="3" max="3" width="12" customWidth="1"/>
    <col min="5" max="5" width="11.109375" customWidth="1"/>
    <col min="6" max="6" width="9.5546875" bestFit="1" customWidth="1"/>
    <col min="7" max="7" width="12" customWidth="1"/>
    <col min="9" max="9" width="11.109375" customWidth="1"/>
    <col min="11" max="11" width="9.5546875" customWidth="1"/>
    <col min="12" max="12" width="9.5546875" bestFit="1" customWidth="1"/>
    <col min="13" max="13" width="12" customWidth="1"/>
    <col min="15" max="15" width="11.109375" customWidth="1"/>
    <col min="17" max="17" width="9.5546875" customWidth="1"/>
    <col min="19" max="19" width="11.109375" customWidth="1"/>
    <col min="21" max="21" width="9.5546875" customWidth="1"/>
    <col min="23" max="23" width="11.109375" customWidth="1"/>
    <col min="25" max="25" width="11.109375" customWidth="1"/>
    <col min="27" max="27" width="11.109375" customWidth="1"/>
    <col min="29" max="29" width="9.5546875" customWidth="1"/>
    <col min="31" max="31" width="9.5546875" customWidth="1"/>
  </cols>
  <sheetData>
    <row r="1" spans="1:31" s="19" customFormat="1" x14ac:dyDescent="0.3">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71" customFormat="1" x14ac:dyDescent="0.3">
      <c r="C2" s="371" t="s">
        <v>127</v>
      </c>
      <c r="E2" s="371" t="s">
        <v>494</v>
      </c>
      <c r="G2" s="371" t="s">
        <v>492</v>
      </c>
      <c r="I2" s="371" t="s">
        <v>493</v>
      </c>
      <c r="K2" s="371" t="s">
        <v>495</v>
      </c>
      <c r="L2" s="376"/>
      <c r="M2" s="376" t="s">
        <v>496</v>
      </c>
      <c r="N2" s="376"/>
      <c r="O2" s="376" t="s">
        <v>497</v>
      </c>
      <c r="P2" s="376"/>
      <c r="Q2" s="376" t="s">
        <v>499</v>
      </c>
      <c r="R2" s="376"/>
      <c r="S2" s="376" t="s">
        <v>500</v>
      </c>
      <c r="T2" s="376"/>
      <c r="U2" s="376" t="s">
        <v>501</v>
      </c>
      <c r="V2" s="379"/>
      <c r="W2" s="379" t="s">
        <v>502</v>
      </c>
      <c r="X2" s="379"/>
      <c r="Y2" s="379" t="s">
        <v>504</v>
      </c>
      <c r="Z2" s="379"/>
      <c r="AA2" s="379" t="s">
        <v>505</v>
      </c>
      <c r="AB2" s="379"/>
      <c r="AC2" s="379" t="s">
        <v>507</v>
      </c>
      <c r="AD2" s="379"/>
      <c r="AE2" s="379" t="s">
        <v>506</v>
      </c>
    </row>
    <row r="3" spans="1:31" s="371" customFormat="1" x14ac:dyDescent="0.3">
      <c r="B3" s="371" t="s">
        <v>446</v>
      </c>
      <c r="C3" s="371" t="s">
        <v>447</v>
      </c>
      <c r="D3" s="376" t="s">
        <v>446</v>
      </c>
      <c r="E3" s="376" t="s">
        <v>447</v>
      </c>
      <c r="F3" s="371" t="s">
        <v>446</v>
      </c>
      <c r="G3" s="371" t="s">
        <v>447</v>
      </c>
      <c r="H3" s="376" t="s">
        <v>446</v>
      </c>
      <c r="I3" s="376" t="s">
        <v>447</v>
      </c>
      <c r="J3" s="371" t="s">
        <v>446</v>
      </c>
      <c r="K3" s="371" t="s">
        <v>447</v>
      </c>
      <c r="L3" s="376" t="s">
        <v>446</v>
      </c>
      <c r="M3" s="376" t="s">
        <v>447</v>
      </c>
      <c r="N3" s="376" t="s">
        <v>446</v>
      </c>
      <c r="O3" s="376" t="s">
        <v>447</v>
      </c>
      <c r="P3" s="376" t="s">
        <v>446</v>
      </c>
      <c r="Q3" s="376" t="s">
        <v>447</v>
      </c>
      <c r="R3" s="376" t="s">
        <v>446</v>
      </c>
      <c r="S3" s="376" t="s">
        <v>447</v>
      </c>
      <c r="T3" s="376" t="s">
        <v>446</v>
      </c>
      <c r="U3" s="376" t="s">
        <v>447</v>
      </c>
      <c r="V3" s="379" t="s">
        <v>446</v>
      </c>
      <c r="W3" s="379" t="s">
        <v>447</v>
      </c>
      <c r="X3" s="379" t="s">
        <v>446</v>
      </c>
      <c r="Y3" s="379" t="s">
        <v>447</v>
      </c>
      <c r="Z3" s="379" t="s">
        <v>446</v>
      </c>
      <c r="AA3" s="379" t="s">
        <v>447</v>
      </c>
      <c r="AB3" s="379" t="s">
        <v>446</v>
      </c>
      <c r="AC3" s="379" t="s">
        <v>447</v>
      </c>
      <c r="AD3" s="379" t="s">
        <v>446</v>
      </c>
      <c r="AE3" s="379" t="s">
        <v>447</v>
      </c>
    </row>
    <row r="4" spans="1:31" x14ac:dyDescent="0.3">
      <c r="A4" t="s">
        <v>1</v>
      </c>
      <c r="B4" s="350">
        <v>751.85799999999995</v>
      </c>
      <c r="C4" s="350">
        <v>359.88499999999999</v>
      </c>
      <c r="D4" s="350">
        <v>81</v>
      </c>
      <c r="E4" s="350">
        <v>692</v>
      </c>
      <c r="F4" s="350">
        <v>759.63599999999997</v>
      </c>
      <c r="G4" s="350">
        <v>475.238</v>
      </c>
      <c r="H4" s="350">
        <v>790.25300000000004</v>
      </c>
      <c r="I4" s="350">
        <v>621.173</v>
      </c>
      <c r="J4" s="350">
        <v>373</v>
      </c>
      <c r="K4" s="350">
        <v>457</v>
      </c>
      <c r="L4" s="350">
        <v>701.53300000000002</v>
      </c>
      <c r="M4" s="350">
        <v>698.26</v>
      </c>
      <c r="N4" s="350">
        <v>590.60900000000004</v>
      </c>
      <c r="O4" s="350">
        <v>510.80900000000003</v>
      </c>
      <c r="P4" s="350">
        <v>724</v>
      </c>
      <c r="Q4" s="350">
        <v>656</v>
      </c>
      <c r="R4" s="350">
        <v>838.77599999999995</v>
      </c>
      <c r="S4" s="350">
        <v>310.26499999999999</v>
      </c>
      <c r="T4" s="350">
        <v>645</v>
      </c>
      <c r="U4" s="350">
        <v>901</v>
      </c>
      <c r="V4" s="350">
        <v>916</v>
      </c>
      <c r="W4" s="350">
        <v>450</v>
      </c>
      <c r="X4" s="350">
        <v>406.75799999999998</v>
      </c>
      <c r="Y4" s="350">
        <v>378.25</v>
      </c>
      <c r="Z4" s="350">
        <v>816.85199999999998</v>
      </c>
      <c r="AA4" s="350">
        <v>353.79199999999997</v>
      </c>
      <c r="AB4" s="350">
        <v>941</v>
      </c>
      <c r="AC4" s="350">
        <v>554</v>
      </c>
      <c r="AD4" s="350">
        <v>1024</v>
      </c>
      <c r="AE4" s="350">
        <v>672</v>
      </c>
    </row>
    <row r="5" spans="1:31" x14ac:dyDescent="0.3">
      <c r="A5" t="s">
        <v>2</v>
      </c>
      <c r="B5" s="350">
        <v>700.79700000000003</v>
      </c>
      <c r="C5" s="350">
        <v>373.03</v>
      </c>
      <c r="D5" s="350">
        <v>653</v>
      </c>
      <c r="E5" s="350">
        <v>940</v>
      </c>
      <c r="F5" s="350">
        <v>743.26300000000003</v>
      </c>
      <c r="G5" s="350">
        <v>462.99299999999999</v>
      </c>
      <c r="H5" s="350">
        <v>802.48299999999995</v>
      </c>
      <c r="I5" s="350">
        <v>605.22</v>
      </c>
      <c r="J5" s="350">
        <v>813</v>
      </c>
      <c r="K5" s="350">
        <v>650</v>
      </c>
      <c r="L5" s="350">
        <v>710</v>
      </c>
      <c r="M5" s="350">
        <v>707</v>
      </c>
      <c r="N5" s="350">
        <v>595</v>
      </c>
      <c r="O5" s="350">
        <v>501</v>
      </c>
      <c r="P5" s="350">
        <v>689</v>
      </c>
      <c r="Q5" s="350">
        <v>139</v>
      </c>
      <c r="R5" s="350">
        <v>817.93700000000001</v>
      </c>
      <c r="S5" s="350">
        <v>313.06200000000001</v>
      </c>
      <c r="T5" s="350">
        <v>620</v>
      </c>
      <c r="U5" s="350">
        <v>560</v>
      </c>
      <c r="V5" s="350">
        <v>905</v>
      </c>
      <c r="W5" s="350">
        <v>441</v>
      </c>
      <c r="X5" s="350">
        <v>653.245</v>
      </c>
      <c r="Y5" s="350">
        <v>484.61200000000002</v>
      </c>
      <c r="Z5" s="350">
        <v>913.80700000000002</v>
      </c>
      <c r="AA5" s="350">
        <v>411.96</v>
      </c>
      <c r="AB5" s="350">
        <v>906</v>
      </c>
      <c r="AC5" s="350">
        <v>201</v>
      </c>
      <c r="AD5" s="350">
        <v>965</v>
      </c>
      <c r="AE5" s="350">
        <v>127</v>
      </c>
    </row>
    <row r="6" spans="1:31" x14ac:dyDescent="0.3">
      <c r="A6" t="s">
        <v>4</v>
      </c>
      <c r="B6">
        <f t="shared" ref="B6:K6" si="0">B5-B4</f>
        <v>-51.060999999999922</v>
      </c>
      <c r="C6">
        <f t="shared" si="0"/>
        <v>13.144999999999982</v>
      </c>
      <c r="D6">
        <f t="shared" si="0"/>
        <v>572</v>
      </c>
      <c r="E6">
        <f t="shared" si="0"/>
        <v>248</v>
      </c>
      <c r="F6">
        <f t="shared" si="0"/>
        <v>-16.372999999999934</v>
      </c>
      <c r="G6">
        <f t="shared" si="0"/>
        <v>-12.245000000000005</v>
      </c>
      <c r="H6">
        <f t="shared" si="0"/>
        <v>12.229999999999905</v>
      </c>
      <c r="I6">
        <f t="shared" si="0"/>
        <v>-15.952999999999975</v>
      </c>
      <c r="J6">
        <f t="shared" si="0"/>
        <v>440</v>
      </c>
      <c r="K6">
        <f t="shared" si="0"/>
        <v>193</v>
      </c>
      <c r="L6">
        <f t="shared" ref="L6:Q6" si="1">L5-L4</f>
        <v>8.4669999999999845</v>
      </c>
      <c r="M6">
        <f t="shared" si="1"/>
        <v>8.7400000000000091</v>
      </c>
      <c r="N6">
        <f t="shared" si="1"/>
        <v>4.3909999999999627</v>
      </c>
      <c r="O6">
        <f t="shared" si="1"/>
        <v>-9.8090000000000259</v>
      </c>
      <c r="P6">
        <f t="shared" si="1"/>
        <v>-35</v>
      </c>
      <c r="Q6">
        <f t="shared" si="1"/>
        <v>-517</v>
      </c>
      <c r="R6">
        <f t="shared" ref="R6:U6" si="2">R5-R4</f>
        <v>-20.838999999999942</v>
      </c>
      <c r="S6">
        <f t="shared" si="2"/>
        <v>2.7970000000000255</v>
      </c>
      <c r="T6">
        <f t="shared" si="2"/>
        <v>-25</v>
      </c>
      <c r="U6">
        <f t="shared" si="2"/>
        <v>-341</v>
      </c>
      <c r="V6">
        <f t="shared" ref="V6:W6" si="3">V5-V4</f>
        <v>-11</v>
      </c>
      <c r="W6">
        <f t="shared" si="3"/>
        <v>-9</v>
      </c>
      <c r="X6">
        <f t="shared" ref="X6:Y6" si="4">X5-X4</f>
        <v>246.48700000000002</v>
      </c>
      <c r="Y6">
        <f t="shared" si="4"/>
        <v>106.36200000000002</v>
      </c>
      <c r="Z6">
        <f t="shared" ref="Z6:AE6" si="5">Z5-Z4</f>
        <v>96.955000000000041</v>
      </c>
      <c r="AA6">
        <f t="shared" si="5"/>
        <v>58.168000000000006</v>
      </c>
      <c r="AB6">
        <f t="shared" si="5"/>
        <v>-35</v>
      </c>
      <c r="AC6">
        <f t="shared" si="5"/>
        <v>-353</v>
      </c>
      <c r="AD6">
        <f t="shared" si="5"/>
        <v>-59</v>
      </c>
      <c r="AE6">
        <f t="shared" si="5"/>
        <v>-545</v>
      </c>
    </row>
    <row r="7" spans="1:31" x14ac:dyDescent="0.3">
      <c r="A7" t="s">
        <v>5</v>
      </c>
      <c r="B7">
        <f t="shared" ref="B7:K7" si="6">B6^2</f>
        <v>2607.2257209999921</v>
      </c>
      <c r="C7">
        <f t="shared" si="6"/>
        <v>172.79102499999954</v>
      </c>
      <c r="D7">
        <f t="shared" si="6"/>
        <v>327184</v>
      </c>
      <c r="E7">
        <f t="shared" si="6"/>
        <v>61504</v>
      </c>
      <c r="F7">
        <f t="shared" si="6"/>
        <v>268.07512899999784</v>
      </c>
      <c r="G7">
        <f t="shared" si="6"/>
        <v>149.94002500000011</v>
      </c>
      <c r="H7">
        <f t="shared" si="6"/>
        <v>149.57289999999767</v>
      </c>
      <c r="I7">
        <f t="shared" si="6"/>
        <v>254.49820899999918</v>
      </c>
      <c r="J7">
        <f t="shared" si="6"/>
        <v>193600</v>
      </c>
      <c r="K7">
        <f t="shared" si="6"/>
        <v>37249</v>
      </c>
      <c r="L7">
        <f t="shared" ref="L7:Q7" si="7">L6^2</f>
        <v>71.690088999999745</v>
      </c>
      <c r="M7">
        <f t="shared" si="7"/>
        <v>76.387600000000162</v>
      </c>
      <c r="N7">
        <f t="shared" si="7"/>
        <v>19.280880999999674</v>
      </c>
      <c r="O7">
        <f t="shared" si="7"/>
        <v>96.216481000000513</v>
      </c>
      <c r="P7">
        <f t="shared" si="7"/>
        <v>1225</v>
      </c>
      <c r="Q7">
        <f t="shared" si="7"/>
        <v>267289</v>
      </c>
      <c r="R7">
        <f t="shared" ref="R7:U7" si="8">R6^2</f>
        <v>434.26392099999759</v>
      </c>
      <c r="S7">
        <f t="shared" si="8"/>
        <v>7.8232090000001424</v>
      </c>
      <c r="T7">
        <f t="shared" si="8"/>
        <v>625</v>
      </c>
      <c r="U7">
        <f t="shared" si="8"/>
        <v>116281</v>
      </c>
      <c r="V7">
        <f t="shared" ref="V7:W7" si="9">V6^2</f>
        <v>121</v>
      </c>
      <c r="W7">
        <f t="shared" si="9"/>
        <v>81</v>
      </c>
      <c r="X7">
        <f t="shared" ref="X7:Y7" si="10">X6^2</f>
        <v>60755.841169000014</v>
      </c>
      <c r="Y7">
        <f t="shared" si="10"/>
        <v>11312.875044000006</v>
      </c>
      <c r="Z7">
        <f t="shared" ref="Z7:AA7" si="11">Z6^2</f>
        <v>9400.2720250000075</v>
      </c>
      <c r="AA7">
        <f t="shared" si="11"/>
        <v>3383.5162240000009</v>
      </c>
      <c r="AB7">
        <f t="shared" ref="Z7:AE7" si="12">AB6^2</f>
        <v>1225</v>
      </c>
      <c r="AC7">
        <f t="shared" si="12"/>
        <v>124609</v>
      </c>
      <c r="AD7">
        <f t="shared" si="12"/>
        <v>3481</v>
      </c>
      <c r="AE7">
        <f t="shared" si="12"/>
        <v>297025</v>
      </c>
    </row>
    <row r="8" spans="1:31" x14ac:dyDescent="0.3">
      <c r="A8" t="s">
        <v>6</v>
      </c>
      <c r="C8">
        <f>SQRT(SUM(B7:C7))</f>
        <v>52.725864108613635</v>
      </c>
      <c r="E8">
        <f>SQRT(SUM(D7:E7))</f>
        <v>623.44847421418876</v>
      </c>
      <c r="G8">
        <f>SQRT(SUM(F7:G7))</f>
        <v>20.4454189000861</v>
      </c>
      <c r="I8">
        <f>SQRT(SUM(H7:I7))</f>
        <v>20.101520066900335</v>
      </c>
      <c r="K8">
        <f>SQRT(SUM(J7:K7))</f>
        <v>480.4674806893803</v>
      </c>
      <c r="M8">
        <f>SQRT(SUM(L7:M7))</f>
        <v>12.168717639915879</v>
      </c>
      <c r="O8">
        <f>SQRT(SUM(N7:O7))</f>
        <v>10.7469698985342</v>
      </c>
      <c r="Q8">
        <f>SQRT(SUM(P7:Q7))</f>
        <v>518.18336522895061</v>
      </c>
      <c r="S8">
        <f>SQRT(SUM(R7:S7))</f>
        <v>21.025868115252642</v>
      </c>
      <c r="U8">
        <f>SQRT(SUM(T7:U7))</f>
        <v>341.91519416369903</v>
      </c>
      <c r="W8">
        <f>SQRT(SUM(V7:W7))</f>
        <v>14.212670403551895</v>
      </c>
      <c r="Y8">
        <f>SQRT(SUM(X7:Y7))</f>
        <v>268.45617186609815</v>
      </c>
      <c r="AA8">
        <f>SQRT(SUM(Z7:AA7))</f>
        <v>113.0654157954589</v>
      </c>
      <c r="AC8">
        <f t="shared" ref="AC8" si="13">SQRT(SUM(AB7:AC7))</f>
        <v>354.73088391060622</v>
      </c>
      <c r="AE8">
        <f t="shared" ref="AE8" si="14">SQRT(SUM(AD7:AE7))</f>
        <v>548.18427558623023</v>
      </c>
    </row>
    <row r="9" spans="1:31" x14ac:dyDescent="0.3">
      <c r="A9" t="s">
        <v>7</v>
      </c>
      <c r="C9">
        <f>MOD(ATAN2(C6,B6)*180/PI()+270,360)</f>
        <v>194.4365897259126</v>
      </c>
      <c r="E9">
        <f>MOD(ATAN2(E6,D6)*180/PI()+270,360)</f>
        <v>336.56006390656512</v>
      </c>
      <c r="G9">
        <f>MOD(ATAN2(G6,F6)*180/PI()+270,360)</f>
        <v>143.20800846941125</v>
      </c>
      <c r="I9">
        <f>MOD(ATAN2(I6,H6)*180/PI()+270,360)</f>
        <v>52.525253059329543</v>
      </c>
      <c r="K9">
        <f>MOD(ATAN2(K6,J6)*180/PI()+270,360)</f>
        <v>336.31599634904484</v>
      </c>
      <c r="M9">
        <f>MOD(ATAN2(M6,L6)*180/PI()+270,360)</f>
        <v>314.0910422754323</v>
      </c>
      <c r="O9">
        <f>MOD(ATAN2(O6,N6)*180/PI()+270,360)</f>
        <v>65.884318461164014</v>
      </c>
      <c r="Q9">
        <f>MOD(ATAN2(Q6,P6)*180/PI()+270,360)</f>
        <v>93.872915152001184</v>
      </c>
      <c r="S9">
        <f>MOD(ATAN2(S6,R6)*180/PI()+270,360)</f>
        <v>187.64452386641057</v>
      </c>
      <c r="U9">
        <f>MOD(ATAN2(U6,T6)*180/PI()+270,360)</f>
        <v>94.193068626417016</v>
      </c>
      <c r="W9">
        <f>MOD(ATAN2(W6,V6)*180/PI()+270,360)</f>
        <v>140.71059313749961</v>
      </c>
      <c r="Y9">
        <f>MOD(ATAN2(Y6,X6)*180/PI()+270,360)</f>
        <v>336.65924191296392</v>
      </c>
      <c r="AA9">
        <f>MOD(ATAN2(AA6,Z6)*180/PI()+270,360)</f>
        <v>329.03841613607932</v>
      </c>
      <c r="AC9">
        <f t="shared" ref="AC9:AE9" si="15">MOD(ATAN2(AC6,AB6)*180/PI()+270,360)</f>
        <v>95.662377906653774</v>
      </c>
      <c r="AE9">
        <f t="shared" ref="AE9" si="16">MOD(ATAN2(AE6,AD6)*180/PI()+270,360)</f>
        <v>96.17860053188565</v>
      </c>
    </row>
    <row r="10" spans="1:31" s="372" customFormat="1" ht="117" customHeight="1" x14ac:dyDescent="0.3">
      <c r="A10" s="16" t="s">
        <v>40</v>
      </c>
      <c r="B10" s="393" t="s">
        <v>489</v>
      </c>
      <c r="C10" s="393"/>
      <c r="D10" s="393"/>
      <c r="E10" s="393"/>
      <c r="F10" s="393" t="s">
        <v>489</v>
      </c>
      <c r="G10" s="393"/>
      <c r="H10" s="393" t="s">
        <v>489</v>
      </c>
      <c r="I10" s="393"/>
      <c r="J10" s="393"/>
      <c r="K10" s="393"/>
      <c r="L10" s="393" t="s">
        <v>498</v>
      </c>
      <c r="M10" s="393"/>
      <c r="N10" s="393" t="s">
        <v>498</v>
      </c>
      <c r="O10" s="393"/>
      <c r="P10" s="393"/>
      <c r="Q10" s="393"/>
      <c r="R10" s="393" t="s">
        <v>489</v>
      </c>
      <c r="S10" s="393"/>
      <c r="T10" s="393"/>
      <c r="U10" s="393"/>
      <c r="V10" s="393" t="s">
        <v>503</v>
      </c>
      <c r="W10" s="393"/>
      <c r="X10" s="393" t="s">
        <v>489</v>
      </c>
      <c r="Y10" s="393"/>
      <c r="Z10" s="435" t="s">
        <v>508</v>
      </c>
      <c r="AA10" s="435"/>
      <c r="AB10" s="393"/>
      <c r="AC10" s="393"/>
      <c r="AD10" s="393"/>
      <c r="AE10" s="393"/>
    </row>
    <row r="11" spans="1:31" s="19" customFormat="1" x14ac:dyDescent="0.3">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row>
    <row r="12" spans="1:31" s="1" customFormat="1" x14ac:dyDescent="0.3">
      <c r="B12" s="6"/>
      <c r="D12" s="6"/>
      <c r="F12" s="6"/>
      <c r="H12" s="6"/>
      <c r="J12" s="6"/>
      <c r="L12" s="6"/>
      <c r="N12" s="6"/>
      <c r="P12" s="6"/>
      <c r="R12" s="6"/>
      <c r="T12" s="6"/>
      <c r="V12" s="6"/>
      <c r="X12" s="6"/>
      <c r="Z12" s="6"/>
      <c r="AB12" s="6"/>
      <c r="AD12" s="6"/>
    </row>
    <row r="13" spans="1:31" x14ac:dyDescent="0.3">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
      <c r="A16" t="s">
        <v>13</v>
      </c>
      <c r="B16" s="4"/>
      <c r="C16" s="350">
        <v>6.1920000000000002</v>
      </c>
      <c r="D16" s="4"/>
      <c r="E16" s="111">
        <f>5*15.0412*COS((2+30/60+7/3600)*PI()/180)</f>
        <v>75.134309180876983</v>
      </c>
      <c r="F16" s="4"/>
      <c r="G16" s="350">
        <v>2.3809999999999998</v>
      </c>
      <c r="H16" s="4"/>
      <c r="I16" s="350">
        <v>2.2879999999999998</v>
      </c>
      <c r="J16" s="4"/>
      <c r="K16" s="111">
        <f>5*15.0412*COS((39+46/60+47/3600)*PI()/180)</f>
        <v>57.796564507645741</v>
      </c>
      <c r="L16" s="4"/>
      <c r="M16" s="350">
        <v>1.2050000000000001</v>
      </c>
      <c r="N16" s="4"/>
      <c r="O16" s="350">
        <v>1.2050000000000001</v>
      </c>
      <c r="P16" s="4"/>
      <c r="Q16" s="111">
        <f>5*15.0412*COS((32+54/60+6/3600)*PI()/180)</f>
        <v>63.143263227776892</v>
      </c>
      <c r="R16" s="4"/>
      <c r="S16" s="350">
        <v>2.4260000000000002</v>
      </c>
      <c r="T16" s="4"/>
      <c r="U16" s="111">
        <f>5*15.0412*COS((54+28/60+14/3600)*PI()/180)</f>
        <v>43.703805104560828</v>
      </c>
      <c r="V16" s="4"/>
      <c r="W16" s="350">
        <v>1.669</v>
      </c>
      <c r="X16" s="4"/>
      <c r="Y16" s="350">
        <v>31.486999999999998</v>
      </c>
      <c r="Z16" s="4"/>
      <c r="AA16" s="350">
        <v>13.311</v>
      </c>
      <c r="AB16" s="4"/>
      <c r="AC16" s="111">
        <f>5*15.0412*COS((57+48/60+55/3600)*PI()/180)</f>
        <v>40.058522664318311</v>
      </c>
      <c r="AD16" s="4"/>
      <c r="AE16" s="111">
        <f>8*15.0412*COS((57+48/60+55/3600)*PI()/180)</f>
        <v>64.0936362629093</v>
      </c>
    </row>
    <row r="17" spans="1:31" x14ac:dyDescent="0.3">
      <c r="A17" t="s">
        <v>7</v>
      </c>
      <c r="C17" s="350">
        <v>127.56</v>
      </c>
      <c r="E17" s="63">
        <v>-90</v>
      </c>
      <c r="G17" s="350">
        <v>76.64</v>
      </c>
      <c r="I17" s="350">
        <v>346.41</v>
      </c>
      <c r="K17" s="63">
        <v>-90</v>
      </c>
      <c r="M17" s="350">
        <v>245.79</v>
      </c>
      <c r="O17" s="350">
        <v>245.79</v>
      </c>
      <c r="Q17" s="63">
        <v>-90</v>
      </c>
      <c r="S17" s="350">
        <v>2.1</v>
      </c>
      <c r="U17" s="63">
        <v>-90</v>
      </c>
      <c r="W17" s="350">
        <v>315.77999999999997</v>
      </c>
      <c r="Y17" s="350">
        <v>151.68</v>
      </c>
      <c r="AA17" s="350">
        <v>323.18</v>
      </c>
      <c r="AC17" s="63">
        <v>-90</v>
      </c>
      <c r="AE17" s="63">
        <v>-90</v>
      </c>
    </row>
    <row r="18" spans="1:31" x14ac:dyDescent="0.3">
      <c r="A18" t="s">
        <v>32</v>
      </c>
      <c r="B18" s="9">
        <f>-C16*SIN((C17)/180*PI())</f>
        <v>-4.9084938306422226</v>
      </c>
      <c r="C18" s="9">
        <f>C16*COS((C17)/180*PI())</f>
        <v>-3.7745929998540562</v>
      </c>
      <c r="D18" s="9">
        <f>-E16*SIN((E17)/180*PI())</f>
        <v>75.134309180876983</v>
      </c>
      <c r="E18" s="9">
        <f>E16*COS((E17)/180*PI())</f>
        <v>4.602534140178899E-15</v>
      </c>
      <c r="F18" s="9">
        <f>-G16*SIN((G17)/180*PI())</f>
        <v>-2.3165640248650901</v>
      </c>
      <c r="G18" s="9">
        <f>G16*COS((G17)/180*PI())</f>
        <v>0.55017462564249031</v>
      </c>
      <c r="H18" s="9">
        <f>-I16*SIN((I17)/180*PI())</f>
        <v>0.53761701210456325</v>
      </c>
      <c r="I18" s="9">
        <f>I16*COS((I17)/180*PI())</f>
        <v>2.2239406350655497</v>
      </c>
      <c r="J18" s="9">
        <f>-K16*SIN((K17)/180*PI())</f>
        <v>57.796564507645741</v>
      </c>
      <c r="K18" s="9">
        <f>K16*COS((K17)/180*PI())</f>
        <v>3.5404685852784284E-15</v>
      </c>
      <c r="L18" s="9">
        <f>-M16*SIN((M17)/180*PI())</f>
        <v>1.0990185114429294</v>
      </c>
      <c r="M18" s="9">
        <f>M16*COS((M17)/180*PI())</f>
        <v>-0.4941490782200933</v>
      </c>
      <c r="N18" s="9">
        <f>-O16*SIN((O17)/180*PI())</f>
        <v>1.0990185114429294</v>
      </c>
      <c r="O18" s="9">
        <f>O16*COS((O17)/180*PI())</f>
        <v>-0.4941490782200933</v>
      </c>
      <c r="P18" s="9">
        <f>-Q16*SIN((Q17)/180*PI())</f>
        <v>63.143263227776892</v>
      </c>
      <c r="Q18" s="9">
        <f>Q16*COS((Q17)/180*PI())</f>
        <v>3.8679935690699568E-15</v>
      </c>
      <c r="R18" s="9">
        <f>-S16*SIN((S17)/180*PI())</f>
        <v>-8.8897637322105524E-2</v>
      </c>
      <c r="S18" s="9">
        <f>S16*COS((S17)/180*PI())</f>
        <v>2.42437068330702</v>
      </c>
      <c r="T18" s="9">
        <f>-U16*SIN((U17)/180*PI())</f>
        <v>43.703805104560828</v>
      </c>
      <c r="U18" s="9">
        <f>U16*COS((U17)/180*PI())</f>
        <v>2.6771824648740081E-15</v>
      </c>
      <c r="V18" s="9">
        <f>-W16*SIN((W17)/180*PI())</f>
        <v>1.1639861513663627</v>
      </c>
      <c r="W18" s="9">
        <f>W16*COS((W17)/180*PI())</f>
        <v>1.1961175692327755</v>
      </c>
      <c r="X18" s="9">
        <f>-Y16*SIN((Y17)/180*PI())</f>
        <v>-14.93729188729723</v>
      </c>
      <c r="Y18" s="9">
        <f>Y16*COS((Y17)/180*PI())</f>
        <v>-27.718378020253716</v>
      </c>
      <c r="Z18" s="9">
        <f>-AA16*SIN((AA17)/180*PI())</f>
        <v>7.9773231646667968</v>
      </c>
      <c r="AA18" s="9">
        <f>AA16*COS((AA17)/180*PI())</f>
        <v>10.655751316846246</v>
      </c>
      <c r="AB18" s="9">
        <f t="shared" ref="AB18:AE18" si="17">-AC16*SIN((AC17)/180*PI())</f>
        <v>40.058522664318311</v>
      </c>
      <c r="AC18" s="9">
        <f t="shared" ref="AC18" si="18">AC16*COS((AC17)/180*PI())</f>
        <v>2.4538818574055757E-15</v>
      </c>
      <c r="AD18" s="9">
        <f t="shared" ref="AD18:AE18" si="19">-AE16*SIN((AE17)/180*PI())</f>
        <v>64.0936362629093</v>
      </c>
      <c r="AE18" s="9">
        <f t="shared" ref="AE18" si="20">AE16*COS((AE17)/180*PI())</f>
        <v>3.9262109718489213E-15</v>
      </c>
    </row>
    <row r="19" spans="1:31" s="370" customFormat="1" ht="69" customHeight="1" x14ac:dyDescent="0.3">
      <c r="A19" s="15" t="s">
        <v>40</v>
      </c>
      <c r="B19" s="369"/>
      <c r="C19" s="369"/>
      <c r="D19" s="369"/>
      <c r="E19" s="369"/>
      <c r="F19" s="369"/>
      <c r="G19" s="369"/>
      <c r="H19" s="369"/>
      <c r="I19" s="369"/>
      <c r="J19" s="369"/>
      <c r="K19" s="369"/>
      <c r="L19" s="374"/>
      <c r="M19" s="374"/>
      <c r="N19" s="374"/>
      <c r="O19" s="374"/>
      <c r="P19" s="374"/>
      <c r="Q19" s="374"/>
      <c r="R19" s="374"/>
      <c r="S19" s="374"/>
      <c r="T19" s="374"/>
      <c r="U19" s="374"/>
      <c r="V19" s="377"/>
      <c r="W19" s="377"/>
      <c r="X19" s="377"/>
      <c r="Y19" s="377"/>
      <c r="Z19" s="377"/>
      <c r="AA19" s="377"/>
      <c r="AB19" s="377"/>
      <c r="AC19" s="377"/>
      <c r="AD19" s="377"/>
      <c r="AE19" s="377"/>
    </row>
    <row r="20" spans="1:31" s="19" customFormat="1" x14ac:dyDescent="0.3">
      <c r="A20" s="18" t="s">
        <v>38</v>
      </c>
    </row>
    <row r="21" spans="1:31" x14ac:dyDescent="0.3">
      <c r="A21" s="7" t="s">
        <v>65</v>
      </c>
      <c r="C21">
        <f>C16/C8</f>
        <v>0.11743762012595324</v>
      </c>
      <c r="E21">
        <f>E16/E8</f>
        <v>0.12051406377339889</v>
      </c>
      <c r="G21">
        <f>G16/G8</f>
        <v>0.1164564057912246</v>
      </c>
      <c r="I21">
        <f>I16/I8</f>
        <v>0.11382223793948189</v>
      </c>
      <c r="K21">
        <f>K16/K8</f>
        <v>0.12029235448925402</v>
      </c>
      <c r="M21">
        <f>M16/M8</f>
        <v>9.902440303548124E-2</v>
      </c>
      <c r="O21">
        <f>O16/O8</f>
        <v>0.11212462781386895</v>
      </c>
      <c r="Q21">
        <f>Q16/Q8</f>
        <v>0.1218550564622585</v>
      </c>
      <c r="S21">
        <f>S16/S8</f>
        <v>0.11538168063748695</v>
      </c>
      <c r="U21">
        <f>U16/U8</f>
        <v>0.1278205995245614</v>
      </c>
      <c r="W21">
        <f>W16/W8</f>
        <v>0.11743043021548571</v>
      </c>
      <c r="Y21">
        <f>Y16/Y8</f>
        <v>0.11728916411616432</v>
      </c>
      <c r="AA21">
        <f>AA16/AA8</f>
        <v>0.1177283071605227</v>
      </c>
      <c r="AC21">
        <f t="shared" ref="AC21:AE21" si="21">AC16/AC8</f>
        <v>0.11292651551144117</v>
      </c>
      <c r="AE21">
        <f t="shared" ref="AE21" si="22">AE16/AE8</f>
        <v>0.11691987369460267</v>
      </c>
    </row>
    <row r="22" spans="1:31" x14ac:dyDescent="0.3">
      <c r="A22" t="s">
        <v>34</v>
      </c>
    </row>
    <row r="23" spans="1:31" x14ac:dyDescent="0.3">
      <c r="A23" t="s">
        <v>35</v>
      </c>
    </row>
    <row r="24" spans="1:31" x14ac:dyDescent="0.3">
      <c r="A24" s="7" t="s">
        <v>64</v>
      </c>
      <c r="C24">
        <f>MOD(C9-C17,360)</f>
        <v>66.876589725912595</v>
      </c>
      <c r="E24">
        <f>MOD(E9-E17,360)</f>
        <v>66.560063906565119</v>
      </c>
      <c r="G24">
        <f>MOD(G9-G17,360)</f>
        <v>66.568008469411254</v>
      </c>
      <c r="I24">
        <f>MOD(I9-I17,360)</f>
        <v>66.115253059329518</v>
      </c>
      <c r="K24">
        <f>MOD(K9-K17,360)</f>
        <v>66.315996349044838</v>
      </c>
      <c r="M24">
        <f>MOD(M9-M17,360)</f>
        <v>68.301042275432309</v>
      </c>
      <c r="O24">
        <f>MOD(O9-O17,360)</f>
        <v>180.09431846116402</v>
      </c>
      <c r="Q24">
        <f>MOD(Q9-Q17,360)</f>
        <v>183.87291515200118</v>
      </c>
      <c r="S24">
        <f>MOD(S9-S17,360)</f>
        <v>185.54452386641057</v>
      </c>
      <c r="U24">
        <f>MOD(U9-U17,360)</f>
        <v>184.19306862641702</v>
      </c>
      <c r="W24">
        <f>MOD(W9-W17,360)</f>
        <v>184.93059313749964</v>
      </c>
      <c r="Y24">
        <f>MOD(Y9-Y17,360)</f>
        <v>184.97924191296391</v>
      </c>
      <c r="AA24">
        <f>MOD(AA9-AA17,360)+180</f>
        <v>185.85841613607931</v>
      </c>
      <c r="AC24">
        <f t="shared" ref="AC24:AE24" si="23">MOD(AC9-AC17,360)</f>
        <v>185.66237790665377</v>
      </c>
      <c r="AE24">
        <f t="shared" ref="AE24" si="24">MOD(AE9-AE17,360)</f>
        <v>186.17860053188565</v>
      </c>
    </row>
    <row r="25" spans="1:31" x14ac:dyDescent="0.3">
      <c r="A25" t="s">
        <v>36</v>
      </c>
    </row>
    <row r="26" spans="1:31" x14ac:dyDescent="0.3">
      <c r="A26" t="s">
        <v>35</v>
      </c>
    </row>
    <row r="27" spans="1:31" x14ac:dyDescent="0.3">
      <c r="A27" t="s">
        <v>67</v>
      </c>
      <c r="C27">
        <f>SQRT(C16)</f>
        <v>2.4883729623993265</v>
      </c>
      <c r="E27">
        <f>SQRT(E16)</f>
        <v>8.6680049135240456</v>
      </c>
      <c r="G27">
        <f>SQRT(G16)</f>
        <v>1.5430489298787644</v>
      </c>
      <c r="I27">
        <f>SQRT(I16)</f>
        <v>1.5126136320951229</v>
      </c>
      <c r="K27">
        <f>SQRT(K16)</f>
        <v>7.6024051791288878</v>
      </c>
      <c r="M27">
        <f>SQRT(M16)</f>
        <v>1.0977249200050074</v>
      </c>
      <c r="O27">
        <f>SQRT(O16)</f>
        <v>1.0977249200050074</v>
      </c>
      <c r="Q27">
        <f>SQRT(Q16)</f>
        <v>7.9462735434779042</v>
      </c>
      <c r="S27">
        <f>SQRT(S16)</f>
        <v>1.5575621977950029</v>
      </c>
      <c r="U27">
        <f>SQRT(U16)</f>
        <v>6.6108853495247386</v>
      </c>
      <c r="W27">
        <f>SQRT(W16)</f>
        <v>1.2918978287774927</v>
      </c>
      <c r="Y27">
        <f>SQRT(Y16)</f>
        <v>5.6113278285981476</v>
      </c>
      <c r="AA27">
        <f>SQRT(AA16)</f>
        <v>3.6484243174280042</v>
      </c>
      <c r="AC27">
        <f t="shared" ref="AC27:AE27" si="25">SQRT(AC16)</f>
        <v>6.3291802521589089</v>
      </c>
      <c r="AE27">
        <f t="shared" ref="AE27" si="26">SQRT(AE16)</f>
        <v>8.0058501274323959</v>
      </c>
    </row>
    <row r="28" spans="1:31" x14ac:dyDescent="0.3">
      <c r="A28" t="s">
        <v>68</v>
      </c>
      <c r="C28">
        <f>C27*C21</f>
        <v>0.29222859868994505</v>
      </c>
      <c r="E28">
        <f>E27*E21</f>
        <v>1.0446164969365717</v>
      </c>
      <c r="G28">
        <f>G27*G21</f>
        <v>0.17969793233367626</v>
      </c>
      <c r="I28">
        <f>I27*I21</f>
        <v>0.172169068742835</v>
      </c>
      <c r="K28">
        <f>K27*K21</f>
        <v>0.91451121877871289</v>
      </c>
      <c r="M28">
        <f>M27*M21</f>
        <v>0.10870155490066725</v>
      </c>
      <c r="O28">
        <f>O27*O21</f>
        <v>0.12308199809757052</v>
      </c>
      <c r="Q28">
        <f>Q27*Q21</f>
        <v>0.96829361130505087</v>
      </c>
      <c r="S28">
        <f>S27*S21</f>
        <v>0.17971414407900532</v>
      </c>
      <c r="U28">
        <f>U27*U21</f>
        <v>0.84500732876439177</v>
      </c>
      <c r="W28">
        <f>W27*W21</f>
        <v>0.15170811782779287</v>
      </c>
      <c r="Y28">
        <f>Y27*Y21</f>
        <v>0.65814795059804809</v>
      </c>
      <c r="AA28">
        <f>AA27*AA21</f>
        <v>0.42952281869408443</v>
      </c>
      <c r="AC28">
        <f t="shared" ref="AC28" si="27">AC27*AC21</f>
        <v>0.71473227192013022</v>
      </c>
      <c r="AE28">
        <f t="shared" ref="AE28" si="28">AE27*AE21</f>
        <v>0.93604298571731448</v>
      </c>
    </row>
    <row r="29" spans="1:31" x14ac:dyDescent="0.3">
      <c r="A29" s="288" t="s">
        <v>69</v>
      </c>
      <c r="B29" s="118" t="s">
        <v>357</v>
      </c>
      <c r="C29" s="139">
        <f>SUM(B28:AE28)/SUM(B27:AE27)</f>
        <v>0.11872053727820954</v>
      </c>
      <c r="F29" s="118"/>
      <c r="G29" s="139"/>
      <c r="H29" s="118"/>
      <c r="I29" s="139"/>
      <c r="J29" s="118"/>
      <c r="K29" s="139"/>
      <c r="L29" s="118"/>
      <c r="M29" s="139"/>
      <c r="N29" s="118"/>
      <c r="O29" s="139"/>
      <c r="P29" s="118"/>
      <c r="Q29" s="139"/>
      <c r="R29" s="118"/>
      <c r="S29" s="139"/>
      <c r="T29" s="118"/>
      <c r="U29" s="139"/>
      <c r="V29" s="118"/>
      <c r="W29" s="139"/>
      <c r="X29" s="118"/>
      <c r="Y29" s="139"/>
      <c r="Z29" s="118"/>
      <c r="AA29" s="139"/>
      <c r="AB29" s="118"/>
      <c r="AC29" s="139"/>
      <c r="AD29" s="118"/>
      <c r="AE29" s="139"/>
    </row>
    <row r="30" spans="1:31" x14ac:dyDescent="0.3">
      <c r="A30" t="s">
        <v>72</v>
      </c>
      <c r="C30" s="7">
        <f>C21-$C29</f>
        <v>-1.2829171522562993E-3</v>
      </c>
      <c r="E30" s="7">
        <f>E21-$C29</f>
        <v>1.7935264951893515E-3</v>
      </c>
      <c r="G30" s="7">
        <f>G21-$C29</f>
        <v>-2.264131486984941E-3</v>
      </c>
      <c r="I30" s="7">
        <f>I21-$C29</f>
        <v>-4.8982993387276519E-3</v>
      </c>
      <c r="K30" s="7">
        <f>K21-$C29</f>
        <v>1.5718172110444767E-3</v>
      </c>
      <c r="M30" s="7">
        <f>M21-$C29</f>
        <v>-1.96961342427283E-2</v>
      </c>
      <c r="O30" s="7">
        <f>O21-$C29</f>
        <v>-6.5959094643405908E-3</v>
      </c>
      <c r="Q30" s="7">
        <f>Q21-$C29</f>
        <v>3.1345191840489589E-3</v>
      </c>
      <c r="S30" s="7">
        <f>S21-$C29</f>
        <v>-3.3388566407225873E-3</v>
      </c>
      <c r="U30" s="7">
        <f>U21-$C29</f>
        <v>9.1000622463518616E-3</v>
      </c>
      <c r="W30" s="7">
        <f>W21-$C29</f>
        <v>-1.2901070627238248E-3</v>
      </c>
      <c r="Y30" s="7">
        <f>Y21-$C29</f>
        <v>-1.4313731620452241E-3</v>
      </c>
      <c r="AA30" s="7">
        <f>AA21-$C29</f>
        <v>-9.922301176868431E-4</v>
      </c>
      <c r="AC30" s="7">
        <f t="shared" ref="AC30" si="29">AC21-$C29</f>
        <v>-5.7940217667683674E-3</v>
      </c>
      <c r="AE30" s="7">
        <f t="shared" ref="AE30" si="30">AE21-$C29</f>
        <v>-1.8006635836068652E-3</v>
      </c>
    </row>
    <row r="31" spans="1:31" x14ac:dyDescent="0.3">
      <c r="A31" t="s">
        <v>70</v>
      </c>
      <c r="C31">
        <f>C27*C24</f>
        <v>166.41389769143348</v>
      </c>
      <c r="E31">
        <f>E27*E24</f>
        <v>576.94296098658094</v>
      </c>
      <c r="G31">
        <f>G27*G24</f>
        <v>102.71769423288556</v>
      </c>
      <c r="I31">
        <f>I27*I24</f>
        <v>100.00683306696061</v>
      </c>
      <c r="K31">
        <f>K27*K24</f>
        <v>504.16107410307092</v>
      </c>
      <c r="M31">
        <f>M27*M24</f>
        <v>74.975756168057558</v>
      </c>
      <c r="O31">
        <f>O27*O24</f>
        <v>197.6940213261376</v>
      </c>
      <c r="Q31">
        <f>Q27*Q24</f>
        <v>1461.1044810345045</v>
      </c>
      <c r="S31">
        <f>S27*S24</f>
        <v>288.99713638219384</v>
      </c>
      <c r="U31">
        <f>U27*U24</f>
        <v>1217.679258866385</v>
      </c>
      <c r="W31">
        <f>W27*W24</f>
        <v>238.91143174886969</v>
      </c>
      <c r="Y31">
        <f>Y27*Y24</f>
        <v>1037.9791678592032</v>
      </c>
      <c r="AA31">
        <f>AA27*AA24</f>
        <v>678.09036502952517</v>
      </c>
      <c r="AC31">
        <f t="shared" ref="AC31:AE31" si="31">AC27*AC24</f>
        <v>1175.0906558156576</v>
      </c>
      <c r="AE31">
        <f t="shared" ref="AE31" si="32">AE27*AE24</f>
        <v>1490.5179727933819</v>
      </c>
    </row>
    <row r="32" spans="1:31" x14ac:dyDescent="0.3">
      <c r="A32" s="288" t="s">
        <v>71</v>
      </c>
      <c r="B32" s="118" t="s">
        <v>357</v>
      </c>
      <c r="C32" s="139">
        <f>MOD(SUM(B31:M31)/SUM(B27:M27),360)</f>
        <v>66.568037008274615</v>
      </c>
      <c r="F32" s="118"/>
      <c r="G32" s="139"/>
      <c r="H32" s="118"/>
      <c r="I32" s="139"/>
      <c r="J32" s="118"/>
      <c r="K32" s="139"/>
      <c r="L32" s="118"/>
      <c r="M32" s="139"/>
      <c r="N32" s="118"/>
      <c r="O32" s="139">
        <f>MOD(SUM(N31:AE31)/SUM(N27:AE27),360)</f>
        <v>184.94598731845471</v>
      </c>
      <c r="P32" s="118"/>
      <c r="Q32" s="139"/>
      <c r="R32" s="118"/>
      <c r="S32" s="139"/>
      <c r="T32" s="118"/>
      <c r="U32" s="139"/>
      <c r="V32" s="118"/>
      <c r="W32" s="139"/>
      <c r="X32" s="118"/>
      <c r="Y32" s="139"/>
      <c r="Z32" s="118"/>
      <c r="AA32" s="139"/>
      <c r="AB32" s="118"/>
      <c r="AC32" s="139"/>
      <c r="AD32" s="118"/>
      <c r="AE32" s="139"/>
    </row>
    <row r="33" spans="1:31" x14ac:dyDescent="0.3">
      <c r="A33" t="s">
        <v>73</v>
      </c>
      <c r="C33" s="7">
        <f>C24-$C32</f>
        <v>0.30855271763797987</v>
      </c>
      <c r="E33" s="7">
        <f>E24-$C32</f>
        <v>-7.9731017094957224E-3</v>
      </c>
      <c r="G33" s="7">
        <f>G24-$C32</f>
        <v>-2.8538863361404765E-5</v>
      </c>
      <c r="I33" s="7">
        <f>I24-$C32</f>
        <v>-0.45278394894509688</v>
      </c>
      <c r="K33" s="7">
        <f>K24-$C32</f>
        <v>-0.25204065922977748</v>
      </c>
      <c r="M33" s="7">
        <f>M24-$C32</f>
        <v>1.7330052671576937</v>
      </c>
      <c r="O33" s="7">
        <f>O24-$C32</f>
        <v>113.52628145288941</v>
      </c>
      <c r="Q33" s="7">
        <f>Q24-$C32</f>
        <v>117.30487814372657</v>
      </c>
      <c r="S33" s="7">
        <f>S24-$C32</f>
        <v>118.97648685813596</v>
      </c>
      <c r="U33" s="7">
        <f>U24-$C32</f>
        <v>117.6250316181424</v>
      </c>
      <c r="W33" s="7">
        <f>W24-$C32</f>
        <v>118.36255612922503</v>
      </c>
      <c r="Y33" s="7">
        <f>Y24-$C32</f>
        <v>118.4112049046893</v>
      </c>
      <c r="AA33" s="7">
        <f>AA24-$C32</f>
        <v>119.2903791278047</v>
      </c>
      <c r="AC33" s="7">
        <f t="shared" ref="AC33" si="33">AC24-$C32</f>
        <v>119.09434089837916</v>
      </c>
      <c r="AE33" s="7">
        <f t="shared" ref="AE33" si="34">AE24-$C32</f>
        <v>119.61056352361103</v>
      </c>
    </row>
    <row r="34" spans="1:31" s="370" customFormat="1" ht="75.75" customHeight="1" x14ac:dyDescent="0.3">
      <c r="A34" s="15" t="s">
        <v>40</v>
      </c>
      <c r="L34" s="375"/>
      <c r="M34" s="375"/>
      <c r="N34" s="375"/>
      <c r="O34" s="375"/>
      <c r="P34" s="375"/>
      <c r="Q34" s="375"/>
      <c r="R34" s="375"/>
      <c r="S34" s="375"/>
      <c r="T34" s="375"/>
      <c r="U34" s="375"/>
      <c r="V34" s="378"/>
      <c r="W34" s="378"/>
      <c r="X34" s="378"/>
      <c r="Y34" s="378"/>
      <c r="Z34" s="378"/>
      <c r="AA34" s="378"/>
      <c r="AB34" s="378"/>
      <c r="AC34" s="378"/>
      <c r="AD34" s="378"/>
      <c r="AE34" s="378"/>
    </row>
    <row r="35" spans="1:31" s="19" customFormat="1" x14ac:dyDescent="0.3">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row>
    <row r="36" spans="1:31" x14ac:dyDescent="0.3">
      <c r="A36" s="7" t="s">
        <v>42</v>
      </c>
      <c r="B36" s="118"/>
      <c r="C36" s="147">
        <f>C8*$C29</f>
        <v>6.2596429154324751</v>
      </c>
      <c r="D36" s="118"/>
      <c r="E36" s="147">
        <f>E8*$C29</f>
        <v>74.016137823988458</v>
      </c>
      <c r="F36" s="118"/>
      <c r="G36" s="147">
        <f>G8*$C29</f>
        <v>2.4272911166962818</v>
      </c>
      <c r="H36" s="118"/>
      <c r="I36" s="147">
        <f>I8*$C29</f>
        <v>2.3864632624511182</v>
      </c>
      <c r="J36" s="118"/>
      <c r="K36" s="147">
        <f>K8*$C29</f>
        <v>57.041357452150997</v>
      </c>
      <c r="L36" s="118"/>
      <c r="M36" s="147">
        <f>M8*$C29</f>
        <v>1.4446766961976392</v>
      </c>
      <c r="N36" s="118"/>
      <c r="O36" s="147">
        <f>O8*$C29</f>
        <v>1.2758860404667254</v>
      </c>
      <c r="P36" s="118"/>
      <c r="Q36" s="147">
        <f>Q8*$C29</f>
        <v>61.519007528611702</v>
      </c>
      <c r="R36" s="118"/>
      <c r="S36" s="147">
        <f>S8*$C29</f>
        <v>2.4962023593835685</v>
      </c>
      <c r="T36" s="118"/>
      <c r="U36" s="147">
        <f>U8*$C29</f>
        <v>40.592355554697683</v>
      </c>
      <c r="V36" s="118"/>
      <c r="W36" s="147">
        <f>W8*$C29</f>
        <v>1.6873358664677882</v>
      </c>
      <c r="X36" s="118"/>
      <c r="Y36" s="147">
        <f>Y8*$C29</f>
        <v>31.871260959594533</v>
      </c>
      <c r="Z36" s="118"/>
      <c r="AA36" s="147">
        <f>AA8*$C29</f>
        <v>13.423186910821041</v>
      </c>
      <c r="AB36" s="118"/>
      <c r="AC36" s="147">
        <f t="shared" ref="AC36:AE36" si="35">AC8*$C29</f>
        <v>42.113841127041347</v>
      </c>
      <c r="AD36" s="118"/>
      <c r="AE36" s="147">
        <f t="shared" ref="AE36" si="36">AE8*$C29</f>
        <v>65.080731725063345</v>
      </c>
    </row>
    <row r="37" spans="1:31" x14ac:dyDescent="0.3">
      <c r="A37" t="s">
        <v>50</v>
      </c>
      <c r="B37" s="118"/>
      <c r="C37" s="141">
        <f>C36-C16</f>
        <v>6.7642915432474915E-2</v>
      </c>
      <c r="D37" s="118"/>
      <c r="E37" s="141">
        <f>E36-E16</f>
        <v>-1.1181713568885243</v>
      </c>
      <c r="F37" s="118"/>
      <c r="G37" s="141">
        <f>G36-G16</f>
        <v>4.6291116696282053E-2</v>
      </c>
      <c r="H37" s="118"/>
      <c r="I37" s="141">
        <f>I36-I16</f>
        <v>9.8463262451118361E-2</v>
      </c>
      <c r="J37" s="118"/>
      <c r="K37" s="141">
        <f>K36-K16</f>
        <v>-0.75520705549474343</v>
      </c>
      <c r="L37" s="118"/>
      <c r="M37" s="141">
        <f>M36-M16</f>
        <v>0.23967669619763909</v>
      </c>
      <c r="N37" s="118"/>
      <c r="O37" s="141">
        <f>O36-O16</f>
        <v>7.0886040466725309E-2</v>
      </c>
      <c r="P37" s="118"/>
      <c r="Q37" s="141">
        <f>Q36-Q16</f>
        <v>-1.6242556991651895</v>
      </c>
      <c r="R37" s="118"/>
      <c r="S37" s="141">
        <f>S36-S16</f>
        <v>7.0202359383568336E-2</v>
      </c>
      <c r="T37" s="118"/>
      <c r="U37" s="141">
        <f>U36-U16</f>
        <v>-3.1114495498631456</v>
      </c>
      <c r="V37" s="118"/>
      <c r="W37" s="141">
        <f>W36-W16</f>
        <v>1.8335866467788176E-2</v>
      </c>
      <c r="X37" s="118"/>
      <c r="Y37" s="141">
        <f>Y36-Y16</f>
        <v>0.38426095959453477</v>
      </c>
      <c r="Z37" s="118"/>
      <c r="AA37" s="141">
        <f>AA36-AA16</f>
        <v>0.11218691082104115</v>
      </c>
      <c r="AB37" s="118"/>
      <c r="AC37" s="141">
        <f t="shared" ref="AC37" si="37">AC36-AC16</f>
        <v>2.0553184627230365</v>
      </c>
      <c r="AD37" s="118"/>
      <c r="AE37" s="141">
        <f t="shared" ref="AE37" si="38">AE36-AE16</f>
        <v>0.98709546215404487</v>
      </c>
    </row>
    <row r="38" spans="1:31" x14ac:dyDescent="0.3">
      <c r="A38" t="s">
        <v>51</v>
      </c>
      <c r="B38" s="118"/>
      <c r="C38" s="142">
        <f>C37/C16</f>
        <v>1.0924243448397111E-2</v>
      </c>
      <c r="D38" s="118"/>
      <c r="E38" s="142">
        <f>E37/E16</f>
        <v>-1.4882300364227196E-2</v>
      </c>
      <c r="F38" s="118"/>
      <c r="G38" s="142">
        <f>G37/G16</f>
        <v>1.9441880174834968E-2</v>
      </c>
      <c r="H38" s="118"/>
      <c r="I38" s="142">
        <f>I37/I16</f>
        <v>4.3034642679684605E-2</v>
      </c>
      <c r="J38" s="118"/>
      <c r="K38" s="142">
        <f>K37/K16</f>
        <v>-1.3066642661690372E-2</v>
      </c>
      <c r="L38" s="118"/>
      <c r="M38" s="142">
        <f>M37/M16</f>
        <v>0.19890182257065483</v>
      </c>
      <c r="N38" s="118"/>
      <c r="O38" s="142">
        <f>O37/O16</f>
        <v>5.8826589598942158E-2</v>
      </c>
      <c r="P38" s="118"/>
      <c r="Q38" s="142">
        <f>Q37/Q16</f>
        <v>-2.5723341115678592E-2</v>
      </c>
      <c r="R38" s="118"/>
      <c r="S38" s="142">
        <f>S37/S16</f>
        <v>2.8937493562888841E-2</v>
      </c>
      <c r="T38" s="118"/>
      <c r="U38" s="142">
        <f>U37/U16</f>
        <v>-7.1194019431924521E-2</v>
      </c>
      <c r="V38" s="118"/>
      <c r="W38" s="142">
        <f>W37/W16</f>
        <v>1.0986139285672963E-2</v>
      </c>
      <c r="X38" s="118"/>
      <c r="Y38" s="142">
        <f>Y37/Y16</f>
        <v>1.2203797109744809E-2</v>
      </c>
      <c r="Z38" s="118"/>
      <c r="AA38" s="142">
        <f>AA37/AA16</f>
        <v>8.4281354384374684E-3</v>
      </c>
      <c r="AB38" s="118"/>
      <c r="AC38" s="142">
        <f t="shared" ref="AC38" si="39">AC37/AC16</f>
        <v>5.130789470061483E-2</v>
      </c>
      <c r="AD38" s="118"/>
      <c r="AE38" s="142">
        <f t="shared" ref="AE38" si="40">AE37/AE16</f>
        <v>1.5400834149977423E-2</v>
      </c>
    </row>
    <row r="39" spans="1:31" x14ac:dyDescent="0.3">
      <c r="A39" t="s">
        <v>53</v>
      </c>
      <c r="B39" s="118">
        <f>AVERAGE(B37:C37)</f>
        <v>6.7642915432474915E-2</v>
      </c>
      <c r="C39" s="142">
        <f>AVERAGE(C38:C38)</f>
        <v>1.0924243448397111E-2</v>
      </c>
      <c r="D39" s="118">
        <f>AVERAGE(D37:E37)</f>
        <v>-1.1181713568885243</v>
      </c>
      <c r="E39" s="142">
        <f>AVERAGE(E38:E38)</f>
        <v>-1.4882300364227196E-2</v>
      </c>
      <c r="F39" s="118">
        <f>AVERAGE(F37:G37)</f>
        <v>4.6291116696282053E-2</v>
      </c>
      <c r="G39" s="142">
        <f>AVERAGE(G38:G38)</f>
        <v>1.9441880174834968E-2</v>
      </c>
      <c r="H39" s="118">
        <f>AVERAGE(H37:I37)</f>
        <v>9.8463262451118361E-2</v>
      </c>
      <c r="I39" s="142">
        <f>AVERAGE(I38:I38)</f>
        <v>4.3034642679684605E-2</v>
      </c>
      <c r="J39" s="118">
        <f>AVERAGE(J37:K37)</f>
        <v>-0.75520705549474343</v>
      </c>
      <c r="K39" s="142">
        <f>AVERAGE(K38:K38)</f>
        <v>-1.3066642661690372E-2</v>
      </c>
      <c r="L39" s="118">
        <f>AVERAGE(L37:M37)</f>
        <v>0.23967669619763909</v>
      </c>
      <c r="M39" s="142">
        <f>AVERAGE(M38:M38)</f>
        <v>0.19890182257065483</v>
      </c>
      <c r="N39" s="118">
        <f>AVERAGE(N37:O37)</f>
        <v>7.0886040466725309E-2</v>
      </c>
      <c r="O39" s="142">
        <f>AVERAGE(O38:O38)</f>
        <v>5.8826589598942158E-2</v>
      </c>
      <c r="P39" s="118">
        <f>AVERAGE(P37:Q37)</f>
        <v>-1.6242556991651895</v>
      </c>
      <c r="Q39" s="142">
        <f>AVERAGE(Q38:Q38)</f>
        <v>-2.5723341115678592E-2</v>
      </c>
      <c r="R39" s="118">
        <f>AVERAGE(R37:S37)</f>
        <v>7.0202359383568336E-2</v>
      </c>
      <c r="S39" s="142">
        <f>AVERAGE(S38:S38)</f>
        <v>2.8937493562888841E-2</v>
      </c>
      <c r="T39" s="118">
        <f>AVERAGE(T37:U37)</f>
        <v>-3.1114495498631456</v>
      </c>
      <c r="U39" s="142">
        <f>AVERAGE(U38:U38)</f>
        <v>-7.1194019431924521E-2</v>
      </c>
      <c r="V39" s="118">
        <f>AVERAGE(V37:W37)</f>
        <v>1.8335866467788176E-2</v>
      </c>
      <c r="W39" s="142">
        <f>AVERAGE(W38:W38)</f>
        <v>1.0986139285672963E-2</v>
      </c>
      <c r="X39" s="118">
        <f>AVERAGE(X37:Y37)</f>
        <v>0.38426095959453477</v>
      </c>
      <c r="Y39" s="142">
        <f>AVERAGE(Y38:Y38)</f>
        <v>1.2203797109744809E-2</v>
      </c>
      <c r="Z39" s="118">
        <f>AVERAGE(Z37:AA37)</f>
        <v>0.11218691082104115</v>
      </c>
      <c r="AA39" s="142">
        <f>AVERAGE(AA38:AA38)</f>
        <v>8.4281354384374684E-3</v>
      </c>
      <c r="AB39" s="118">
        <f t="shared" ref="AB39:AE39" si="41">AVERAGE(AB37:AC37)</f>
        <v>2.0553184627230365</v>
      </c>
      <c r="AC39" s="142">
        <f t="shared" ref="AC39" si="42">AVERAGE(AC38:AC38)</f>
        <v>5.130789470061483E-2</v>
      </c>
      <c r="AD39" s="118">
        <f t="shared" ref="AD39:AE39" si="43">AVERAGE(AD37:AE37)</f>
        <v>0.98709546215404487</v>
      </c>
      <c r="AE39" s="142">
        <f t="shared" ref="AE39" si="44">AVERAGE(AE38:AE38)</f>
        <v>1.5400834149977423E-2</v>
      </c>
    </row>
    <row r="40" spans="1:31" x14ac:dyDescent="0.3">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 t="shared" ref="AB40:AE40" si="45">STDEV(AB37:AC37)</f>
        <v>#DIV/0!</v>
      </c>
      <c r="AC40" s="142" t="e">
        <f t="shared" ref="AC40:AE40" si="46">STDEV(AC38:AC38)</f>
        <v>#DIV/0!</v>
      </c>
      <c r="AD40" s="118" t="e">
        <f t="shared" ref="AD40:AE40" si="47">STDEV(AD37:AE37)</f>
        <v>#DIV/0!</v>
      </c>
      <c r="AE40" s="142" t="e">
        <f t="shared" ref="AE40" si="48">STDEV(AE38:AE38)</f>
        <v>#DIV/0!</v>
      </c>
    </row>
    <row r="41" spans="1:31" x14ac:dyDescent="0.3">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
      <c r="A42" s="7" t="s">
        <v>43</v>
      </c>
      <c r="B42" s="118"/>
      <c r="C42" s="141">
        <f>MOD(C9-$C32,360)</f>
        <v>127.86855271763798</v>
      </c>
      <c r="D42" s="118"/>
      <c r="E42" s="141">
        <f>MOD(E9-$C32,360)</f>
        <v>269.99202689829053</v>
      </c>
      <c r="F42" s="118"/>
      <c r="G42" s="141">
        <f>MOD(G9-$C32,360)</f>
        <v>76.639971461136639</v>
      </c>
      <c r="H42" s="118"/>
      <c r="I42" s="141">
        <f>MOD(I9-$C32,360)</f>
        <v>345.95721605105496</v>
      </c>
      <c r="J42" s="118"/>
      <c r="K42" s="141">
        <f>MOD(K9-$C32,360)</f>
        <v>269.74795934077019</v>
      </c>
      <c r="L42" s="118"/>
      <c r="M42" s="141">
        <f>MOD(M9-$C32,360)</f>
        <v>247.52300526715769</v>
      </c>
      <c r="N42" s="118"/>
      <c r="O42" s="141">
        <f>MOD(O9-$O32,360)</f>
        <v>240.9383311427093</v>
      </c>
      <c r="P42" s="118"/>
      <c r="Q42" s="141">
        <f>MOD(Q9-$C32,360)</f>
        <v>27.304878143726569</v>
      </c>
      <c r="R42" s="118"/>
      <c r="S42" s="141">
        <f>MOD(S9-$O32,360)</f>
        <v>2.6985365479558538</v>
      </c>
      <c r="T42" s="118"/>
      <c r="U42" s="141">
        <f>MOD(U9-$C32,360)</f>
        <v>27.625031618142401</v>
      </c>
      <c r="V42" s="118"/>
      <c r="W42" s="141">
        <f>MOD(W9-$O32,360)</f>
        <v>315.7646058190449</v>
      </c>
      <c r="X42" s="118"/>
      <c r="Y42" s="141">
        <f>MOD(Y9-$O32,360)</f>
        <v>151.71325459450921</v>
      </c>
      <c r="Z42" s="118"/>
      <c r="AA42" s="141">
        <f>MOD(AA9-$O32,360)</f>
        <v>144.09242881762461</v>
      </c>
      <c r="AB42" s="118"/>
      <c r="AC42" s="141">
        <f t="shared" ref="AC42:AE42" si="49">MOD(AC9-$C32,360)</f>
        <v>29.094340898379158</v>
      </c>
      <c r="AD42" s="118"/>
      <c r="AE42" s="141">
        <f t="shared" ref="AE42" si="50">MOD(AE9-$C32,360)</f>
        <v>29.610563523611034</v>
      </c>
    </row>
    <row r="43" spans="1:31" x14ac:dyDescent="0.3">
      <c r="A43" t="s">
        <v>55</v>
      </c>
      <c r="B43" s="118"/>
      <c r="C43" s="141">
        <f>C42-C17</f>
        <v>0.30855271763797987</v>
      </c>
      <c r="D43" s="118"/>
      <c r="E43" s="141">
        <f>E42-E17</f>
        <v>359.99202689829053</v>
      </c>
      <c r="F43" s="118"/>
      <c r="G43" s="141">
        <f>G42-G17</f>
        <v>-2.8538863361404765E-5</v>
      </c>
      <c r="H43" s="118"/>
      <c r="I43" s="141">
        <f>I42-I17</f>
        <v>-0.45278394894506846</v>
      </c>
      <c r="J43" s="118"/>
      <c r="K43" s="141">
        <f>K42-K17</f>
        <v>359.74795934077019</v>
      </c>
      <c r="L43" s="118"/>
      <c r="M43" s="141">
        <f>M42-M17</f>
        <v>1.7330052671576937</v>
      </c>
      <c r="N43" s="118"/>
      <c r="O43" s="141">
        <f>O42-O17</f>
        <v>-4.8516688572906901</v>
      </c>
      <c r="P43" s="118"/>
      <c r="Q43" s="141">
        <f>Q42-Q17</f>
        <v>117.30487814372657</v>
      </c>
      <c r="R43" s="118"/>
      <c r="S43" s="141">
        <f>S42-S17</f>
        <v>0.59853654795585376</v>
      </c>
      <c r="T43" s="118"/>
      <c r="U43" s="141">
        <f>U42-U17</f>
        <v>117.6250316181424</v>
      </c>
      <c r="V43" s="118"/>
      <c r="W43" s="141">
        <f>W42-W17</f>
        <v>-1.5394180955070169E-2</v>
      </c>
      <c r="X43" s="118"/>
      <c r="Y43" s="141">
        <f>Y42-Y17</f>
        <v>3.3254594509202207E-2</v>
      </c>
      <c r="Z43" s="118"/>
      <c r="AA43" s="141">
        <f>AA42-AA17</f>
        <v>-179.0875711823754</v>
      </c>
      <c r="AB43" s="118"/>
      <c r="AC43" s="141">
        <f t="shared" ref="AC43" si="51">AC42-AC17</f>
        <v>119.09434089837916</v>
      </c>
      <c r="AD43" s="118"/>
      <c r="AE43" s="141">
        <f t="shared" ref="AE43" si="52">AE42-AE17</f>
        <v>119.61056352361103</v>
      </c>
    </row>
    <row r="44" spans="1:31" x14ac:dyDescent="0.3">
      <c r="A44" t="s">
        <v>56</v>
      </c>
      <c r="B44" s="118">
        <f>AVERAGE(B43:C43)</f>
        <v>0.30855271763797987</v>
      </c>
      <c r="C44" s="141"/>
      <c r="D44" s="118">
        <f>AVERAGE(D43:E43)</f>
        <v>359.99202689829053</v>
      </c>
      <c r="E44" s="141"/>
      <c r="F44" s="118">
        <f>AVERAGE(F43:G43)</f>
        <v>-2.8538863361404765E-5</v>
      </c>
      <c r="G44" s="141"/>
      <c r="H44" s="118">
        <f>AVERAGE(H43:I43)</f>
        <v>-0.45278394894506846</v>
      </c>
      <c r="I44" s="141"/>
      <c r="J44" s="118">
        <f>AVERAGE(J43:K43)</f>
        <v>359.74795934077019</v>
      </c>
      <c r="K44" s="141"/>
      <c r="L44" s="118">
        <f>AVERAGE(L43:M43)</f>
        <v>1.7330052671576937</v>
      </c>
      <c r="M44" s="141"/>
      <c r="N44" s="118">
        <f>AVERAGE(N43:O43)</f>
        <v>-4.8516688572906901</v>
      </c>
      <c r="O44" s="141"/>
      <c r="P44" s="118">
        <f>AVERAGE(P43:Q43)</f>
        <v>117.30487814372657</v>
      </c>
      <c r="Q44" s="141"/>
      <c r="R44" s="118">
        <f>AVERAGE(R43:S43)</f>
        <v>0.59853654795585376</v>
      </c>
      <c r="S44" s="141"/>
      <c r="T44" s="118">
        <f>AVERAGE(T43:U43)</f>
        <v>117.6250316181424</v>
      </c>
      <c r="U44" s="141"/>
      <c r="V44" s="118">
        <f>AVERAGE(V43:W43)</f>
        <v>-1.5394180955070169E-2</v>
      </c>
      <c r="W44" s="141"/>
      <c r="X44" s="118">
        <f>AVERAGE(X43:Y43)</f>
        <v>3.3254594509202207E-2</v>
      </c>
      <c r="Y44" s="141"/>
      <c r="Z44" s="118">
        <f>AVERAGE(Z43:AA43)</f>
        <v>-179.0875711823754</v>
      </c>
      <c r="AA44" s="141"/>
      <c r="AB44" s="118">
        <f t="shared" ref="AB44" si="53">AVERAGE(AB43:AC43)</f>
        <v>119.09434089837916</v>
      </c>
      <c r="AC44" s="141"/>
      <c r="AD44" s="118">
        <f t="shared" ref="AD44" si="54">AVERAGE(AD43:AE43)</f>
        <v>119.61056352361103</v>
      </c>
      <c r="AE44" s="141"/>
    </row>
    <row r="45" spans="1:31" x14ac:dyDescent="0.3">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 t="shared" ref="AB45:AE45" si="55">STDEV(AB43:AC43)</f>
        <v>#DIV/0!</v>
      </c>
      <c r="AC45" s="141"/>
      <c r="AD45" s="118" t="e">
        <f t="shared" ref="AD45:AE45" si="56">STDEV(AD43:AE43)</f>
        <v>#DIV/0!</v>
      </c>
      <c r="AE45" s="141"/>
    </row>
    <row r="46" spans="1:31" x14ac:dyDescent="0.3">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
      <c r="A47" t="s">
        <v>44</v>
      </c>
      <c r="B47" s="72">
        <f>-C36*SIN((C42)/180*PI())</f>
        <v>-4.9414943316772941</v>
      </c>
      <c r="C47" s="72">
        <f>C36*COS((C42)/180*PI())</f>
        <v>-3.8424943980082977</v>
      </c>
      <c r="D47" s="72">
        <f>-E36*SIN((E42)/180*PI())</f>
        <v>74.016137107340668</v>
      </c>
      <c r="E47" s="72">
        <f>E36*COS((E42)/180*PI())</f>
        <v>-1.0299854511503975E-2</v>
      </c>
      <c r="F47" s="72">
        <f>-G36*SIN((G42)/180*PI())</f>
        <v>-2.3616021056852947</v>
      </c>
      <c r="G47" s="72">
        <f>G36*COS((G42)/180*PI())</f>
        <v>0.56087223109676743</v>
      </c>
      <c r="H47" s="72">
        <f>-I36*SIN((I42)/180*PI())</f>
        <v>0.57906664315015921</v>
      </c>
      <c r="I47" s="72">
        <f>I36*COS((I42)/180*PI())</f>
        <v>2.3151433488705706</v>
      </c>
      <c r="J47" s="72">
        <f>-K36*SIN((K42)/180*PI())</f>
        <v>57.040805558872151</v>
      </c>
      <c r="K47" s="72">
        <f>K36*COS((K42)/180*PI())</f>
        <v>-0.25092066276498343</v>
      </c>
      <c r="L47" s="72">
        <f>-M36*SIN((M42)/180*PI())</f>
        <v>1.3349291036960063</v>
      </c>
      <c r="M47" s="72">
        <f>M36*COS((M42)/180*PI())</f>
        <v>-0.5523178836882825</v>
      </c>
      <c r="N47" s="72">
        <f>-O36*SIN((O42)/180*PI())</f>
        <v>1.1152486554909302</v>
      </c>
      <c r="O47" s="72">
        <f>O36*COS((O42)/180*PI())</f>
        <v>-0.61976255508342126</v>
      </c>
      <c r="P47" s="72">
        <f>-Q36*SIN((Q42)/180*PI())</f>
        <v>-28.220319610601141</v>
      </c>
      <c r="Q47" s="72">
        <f>Q36*COS((Q42)/180*PI())</f>
        <v>54.664447755199213</v>
      </c>
      <c r="R47" s="72">
        <f>-S36*SIN((S42)/180*PI())</f>
        <v>-0.11752354600276889</v>
      </c>
      <c r="S47" s="72">
        <f>S36*COS((S42)/180*PI())</f>
        <v>2.4934342652508463</v>
      </c>
      <c r="T47" s="72">
        <f>-U36*SIN((U42)/180*PI())</f>
        <v>-18.821991662732952</v>
      </c>
      <c r="U47" s="72">
        <f>U36*COS((U42)/180*PI())</f>
        <v>35.964871184629693</v>
      </c>
      <c r="V47" s="72">
        <f>-W36*SIN((W42)/180*PI())</f>
        <v>1.1770987253528415</v>
      </c>
      <c r="W47" s="72">
        <f>W36*COS((W42)/180*PI())</f>
        <v>1.2089420652129355</v>
      </c>
      <c r="X47" s="72">
        <f>-Y36*SIN((Y42)/180*PI())</f>
        <v>-15.103296882173309</v>
      </c>
      <c r="Y47" s="72">
        <f>Y36*COS((Y42)/180*PI())</f>
        <v>-28.065418194701973</v>
      </c>
      <c r="Z47" s="72">
        <f>-AA36*SIN((AA42)/180*PI())</f>
        <v>-7.8724225006793747</v>
      </c>
      <c r="AA47" s="72">
        <f>AA36*COS((AA42)/180*PI())</f>
        <v>-10.872300162046411</v>
      </c>
      <c r="AB47" s="72">
        <f t="shared" ref="AB47:AE47" si="57">-AC36*SIN((AC42)/180*PI())</f>
        <v>-20.477816318300508</v>
      </c>
      <c r="AC47" s="72">
        <f t="shared" ref="AC47:AE47" si="58">AC36*COS((AC42)/180*PI())</f>
        <v>36.799927354651459</v>
      </c>
      <c r="AD47" s="72">
        <f t="shared" ref="AD47:AE47" si="59">-AE36*SIN((AE42)/180*PI())</f>
        <v>-32.156530475220421</v>
      </c>
      <c r="AE47" s="72">
        <f t="shared" ref="AE47" si="60">AE36*COS((AE42)/180*PI())</f>
        <v>56.581438561297524</v>
      </c>
    </row>
    <row r="48" spans="1:31" s="10" customFormat="1" x14ac:dyDescent="0.3">
      <c r="A48" t="s">
        <v>45</v>
      </c>
      <c r="B48" s="72">
        <f t="shared" ref="B48:K48" si="61">B47-B18</f>
        <v>-3.3000501035071572E-2</v>
      </c>
      <c r="C48" s="72">
        <f t="shared" si="61"/>
        <v>-6.7901398154241566E-2</v>
      </c>
      <c r="D48" s="72">
        <f t="shared" si="61"/>
        <v>-1.1181720735363143</v>
      </c>
      <c r="E48" s="72">
        <f t="shared" si="61"/>
        <v>-1.0299854511508577E-2</v>
      </c>
      <c r="F48" s="72">
        <f t="shared" si="61"/>
        <v>-4.5038080820204662E-2</v>
      </c>
      <c r="G48" s="72">
        <f t="shared" si="61"/>
        <v>1.0697605454277115E-2</v>
      </c>
      <c r="H48" s="72">
        <f t="shared" si="61"/>
        <v>4.1449631045595958E-2</v>
      </c>
      <c r="I48" s="72">
        <f t="shared" si="61"/>
        <v>9.1202713805020874E-2</v>
      </c>
      <c r="J48" s="72">
        <f t="shared" si="61"/>
        <v>-0.75575894877358962</v>
      </c>
      <c r="K48" s="72">
        <f t="shared" si="61"/>
        <v>-0.25092066276498698</v>
      </c>
      <c r="L48" s="72">
        <f t="shared" ref="L48:Q48" si="62">L47-L18</f>
        <v>0.23591059225307687</v>
      </c>
      <c r="M48" s="72">
        <f t="shared" si="62"/>
        <v>-5.81688054681892E-2</v>
      </c>
      <c r="N48" s="72">
        <f t="shared" si="62"/>
        <v>1.6230144048000827E-2</v>
      </c>
      <c r="O48" s="72">
        <f t="shared" si="62"/>
        <v>-0.12561347686332797</v>
      </c>
      <c r="P48" s="72">
        <f t="shared" si="62"/>
        <v>-91.363582838378036</v>
      </c>
      <c r="Q48" s="72">
        <f t="shared" si="62"/>
        <v>54.664447755199205</v>
      </c>
      <c r="R48" s="72">
        <f t="shared" ref="R48:U48" si="63">R47-R18</f>
        <v>-2.8625908680663364E-2</v>
      </c>
      <c r="S48" s="72">
        <f t="shared" si="63"/>
        <v>6.9063581943826335E-2</v>
      </c>
      <c r="T48" s="72">
        <f t="shared" si="63"/>
        <v>-62.525796767293784</v>
      </c>
      <c r="U48" s="72">
        <f t="shared" si="63"/>
        <v>35.964871184629693</v>
      </c>
      <c r="V48" s="72">
        <f t="shared" ref="V48:W48" si="64">V47-V18</f>
        <v>1.3112573986478804E-2</v>
      </c>
      <c r="W48" s="72">
        <f t="shared" si="64"/>
        <v>1.282449598016E-2</v>
      </c>
      <c r="X48" s="72">
        <f t="shared" ref="X48:Y48" si="65">X47-X18</f>
        <v>-0.16600499487607934</v>
      </c>
      <c r="Y48" s="72">
        <f t="shared" si="65"/>
        <v>-0.34704017444825652</v>
      </c>
      <c r="Z48" s="72">
        <f t="shared" ref="Z48:AE48" si="66">Z47-Z18</f>
        <v>-15.849745665346171</v>
      </c>
      <c r="AA48" s="72">
        <f t="shared" si="66"/>
        <v>-21.528051478892657</v>
      </c>
      <c r="AB48" s="72">
        <f t="shared" si="66"/>
        <v>-60.536338982618815</v>
      </c>
      <c r="AC48" s="72">
        <f t="shared" si="66"/>
        <v>36.799927354651459</v>
      </c>
      <c r="AD48" s="72">
        <f t="shared" si="66"/>
        <v>-96.250166738129721</v>
      </c>
      <c r="AE48" s="72">
        <f t="shared" si="66"/>
        <v>56.581438561297517</v>
      </c>
    </row>
    <row r="49" spans="1:31" x14ac:dyDescent="0.3">
      <c r="A49" t="s">
        <v>46</v>
      </c>
      <c r="B49" s="118">
        <f t="shared" ref="B49:K49" si="67">B48^2</f>
        <v>1.0890330685657599E-3</v>
      </c>
      <c r="C49" s="118">
        <f t="shared" si="67"/>
        <v>4.6105998713008396E-3</v>
      </c>
      <c r="D49" s="118">
        <f t="shared" si="67"/>
        <v>1.2503087860365008</v>
      </c>
      <c r="E49" s="118">
        <f t="shared" si="67"/>
        <v>1.060870029582436E-4</v>
      </c>
      <c r="F49" s="118">
        <f t="shared" si="67"/>
        <v>2.0284287239672872E-3</v>
      </c>
      <c r="G49" s="118">
        <f t="shared" si="67"/>
        <v>1.1443876245537948E-4</v>
      </c>
      <c r="H49" s="118">
        <f t="shared" si="67"/>
        <v>1.7180719138160322E-3</v>
      </c>
      <c r="I49" s="118">
        <f t="shared" si="67"/>
        <v>8.3179350054005449E-3</v>
      </c>
      <c r="J49" s="118">
        <f t="shared" si="67"/>
        <v>0.57117158865136131</v>
      </c>
      <c r="K49" s="118">
        <f t="shared" si="67"/>
        <v>6.296117900242032E-2</v>
      </c>
      <c r="L49" s="118">
        <f t="shared" ref="L49:Q49" si="68">L48^2</f>
        <v>5.5653807537197494E-2</v>
      </c>
      <c r="M49" s="118">
        <f t="shared" si="68"/>
        <v>3.3836099295960378E-3</v>
      </c>
      <c r="N49" s="118">
        <f t="shared" si="68"/>
        <v>2.6341757581885668E-4</v>
      </c>
      <c r="O49" s="118">
        <f t="shared" si="68"/>
        <v>1.5778745569693831E-2</v>
      </c>
      <c r="P49" s="118">
        <f t="shared" si="68"/>
        <v>8347.3042690651655</v>
      </c>
      <c r="Q49" s="118">
        <f t="shared" si="68"/>
        <v>2988.2018483809034</v>
      </c>
      <c r="R49" s="118">
        <f t="shared" ref="R49:U49" si="69">R48^2</f>
        <v>8.1944264779367816E-4</v>
      </c>
      <c r="S49" s="118">
        <f t="shared" si="69"/>
        <v>4.7697783509116154E-3</v>
      </c>
      <c r="T49" s="118">
        <f t="shared" si="69"/>
        <v>3909.4752613849259</v>
      </c>
      <c r="U49" s="118">
        <f t="shared" si="69"/>
        <v>1293.4719593270072</v>
      </c>
      <c r="V49" s="118">
        <f t="shared" ref="V49:W49" si="70">V48^2</f>
        <v>1.7193959655088063E-4</v>
      </c>
      <c r="W49" s="118">
        <f t="shared" si="70"/>
        <v>1.6446769714513999E-4</v>
      </c>
      <c r="X49" s="118">
        <f t="shared" ref="X49:Y49" si="71">X48^2</f>
        <v>2.7557658323807126E-2</v>
      </c>
      <c r="Y49" s="118">
        <f t="shared" si="71"/>
        <v>0.12043688268107632</v>
      </c>
      <c r="Z49" s="118">
        <f t="shared" ref="Z49:AE49" si="72">Z48^2</f>
        <v>251.21443765615976</v>
      </c>
      <c r="AA49" s="118">
        <f t="shared" si="72"/>
        <v>463.45700047785232</v>
      </c>
      <c r="AB49" s="118">
        <f t="shared" si="72"/>
        <v>3664.6483374185345</v>
      </c>
      <c r="AC49" s="118">
        <f t="shared" si="72"/>
        <v>1354.2346533076247</v>
      </c>
      <c r="AD49" s="118">
        <f t="shared" si="72"/>
        <v>9264.0945971177734</v>
      </c>
      <c r="AE49" s="118">
        <f t="shared" si="72"/>
        <v>3201.4591896658858</v>
      </c>
    </row>
    <row r="50" spans="1:31" s="10" customFormat="1" x14ac:dyDescent="0.3">
      <c r="A50" t="s">
        <v>47</v>
      </c>
      <c r="B50" s="72"/>
      <c r="C50" s="72">
        <f>SQRT(B49+C49)</f>
        <v>7.5495913398452227E-2</v>
      </c>
      <c r="D50" s="72"/>
      <c r="E50" s="72">
        <f>SQRT(D49+E49)</f>
        <v>1.1182195102212531</v>
      </c>
      <c r="F50" s="72"/>
      <c r="G50" s="72">
        <f>SQRT(F49+G49)</f>
        <v>4.6291116711769512E-2</v>
      </c>
      <c r="H50" s="72"/>
      <c r="I50" s="72">
        <f>SQRT(H49+I49)</f>
        <v>0.10017987282491717</v>
      </c>
      <c r="J50" s="72"/>
      <c r="K50" s="72">
        <f>SQRT(J49+K49)</f>
        <v>0.79632453663929104</v>
      </c>
      <c r="L50" s="72"/>
      <c r="M50" s="72">
        <f>SQRT(L49+M49)</f>
        <v>0.2429761664583453</v>
      </c>
      <c r="N50" s="72"/>
      <c r="O50" s="72">
        <f>SQRT(N49+O49)</f>
        <v>0.12665766121918046</v>
      </c>
      <c r="P50" s="72"/>
      <c r="Q50" s="72">
        <f>SQRT(P49+Q49)</f>
        <v>106.46833387184223</v>
      </c>
      <c r="R50" s="72"/>
      <c r="S50" s="72">
        <f>SQRT(R49+S49)</f>
        <v>7.4761092813744323E-2</v>
      </c>
      <c r="T50" s="72"/>
      <c r="U50" s="72">
        <f>SQRT(T49+U49)</f>
        <v>72.131457913395408</v>
      </c>
      <c r="V50" s="72"/>
      <c r="W50" s="72">
        <f>SQRT(V49+W49)</f>
        <v>1.8341409261450458E-2</v>
      </c>
      <c r="X50" s="72"/>
      <c r="Y50" s="72">
        <f>SQRT(X49+Y49)</f>
        <v>0.38470058617694286</v>
      </c>
      <c r="Z50" s="72"/>
      <c r="AA50" s="72">
        <f>SQRT(Z49+AA49)</f>
        <v>26.733339449721054</v>
      </c>
      <c r="AB50" s="72"/>
      <c r="AC50" s="72">
        <f t="shared" ref="AC50" si="73">SQRT(AB49+AC49)</f>
        <v>70.844075198467792</v>
      </c>
      <c r="AD50" s="72"/>
      <c r="AE50" s="72">
        <f t="shared" ref="AE50" si="74">SQRT(AD49+AE49)</f>
        <v>111.64924445236366</v>
      </c>
    </row>
    <row r="51" spans="1:31" s="10" customFormat="1" x14ac:dyDescent="0.3">
      <c r="A51" t="s">
        <v>48</v>
      </c>
      <c r="B51" s="72"/>
      <c r="C51" s="77">
        <f>C50/C36</f>
        <v>1.2060738035443714E-2</v>
      </c>
      <c r="D51" s="72"/>
      <c r="E51" s="77">
        <f>E50/E36</f>
        <v>1.5107779777437141E-2</v>
      </c>
      <c r="F51" s="72"/>
      <c r="G51" s="77">
        <f>G50/G36</f>
        <v>1.9071102099518684E-2</v>
      </c>
      <c r="H51" s="72"/>
      <c r="I51" s="77">
        <f>I50/I36</f>
        <v>4.1978384667033672E-2</v>
      </c>
      <c r="J51" s="72"/>
      <c r="K51" s="77">
        <f>K50/K36</f>
        <v>1.3960476612206958E-2</v>
      </c>
      <c r="L51" s="72"/>
      <c r="M51" s="77">
        <f>M50/M36</f>
        <v>0.16818722631703953</v>
      </c>
      <c r="N51" s="72"/>
      <c r="O51" s="77">
        <f>O50/O36</f>
        <v>9.9270355817082587E-2</v>
      </c>
      <c r="P51" s="72"/>
      <c r="Q51" s="77">
        <f>Q50/Q36</f>
        <v>1.7306575341340671</v>
      </c>
      <c r="R51" s="72"/>
      <c r="S51" s="77">
        <f>S50/S36</f>
        <v>2.9949932757938103E-2</v>
      </c>
      <c r="T51" s="72"/>
      <c r="U51" s="77">
        <f>U50/U36</f>
        <v>1.7769714747447751</v>
      </c>
      <c r="V51" s="72"/>
      <c r="W51" s="77">
        <f>W50/W36</f>
        <v>1.0870040533095373E-2</v>
      </c>
      <c r="X51" s="72"/>
      <c r="Y51" s="77">
        <f>Y50/Y36</f>
        <v>1.2070453900918925E-2</v>
      </c>
      <c r="Z51" s="72"/>
      <c r="AA51" s="77">
        <f>AA50/AA36</f>
        <v>1.9915791702319285</v>
      </c>
      <c r="AB51" s="72"/>
      <c r="AC51" s="77">
        <f t="shared" ref="AC51" si="75">AC50/AC36</f>
        <v>1.6822040759653891</v>
      </c>
      <c r="AD51" s="72"/>
      <c r="AE51" s="77">
        <f t="shared" ref="AE51" si="76">AE50/AE36</f>
        <v>1.7155499253455111</v>
      </c>
    </row>
    <row r="52" spans="1:31" s="10" customFormat="1" x14ac:dyDescent="0.3">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31" s="10" customFormat="1" x14ac:dyDescent="0.3">
      <c r="A53" t="s">
        <v>89</v>
      </c>
      <c r="B53" s="72">
        <f>MEDIAN(B50:C50)</f>
        <v>7.5495913398452227E-2</v>
      </c>
      <c r="C53" s="144"/>
      <c r="D53" s="72">
        <f>MEDIAN(D50:E50)</f>
        <v>1.1182195102212531</v>
      </c>
      <c r="E53" s="144"/>
      <c r="F53" s="72">
        <f>MEDIAN(F50:G50)</f>
        <v>4.6291116711769512E-2</v>
      </c>
      <c r="G53" s="144"/>
      <c r="H53" s="72">
        <f>MEDIAN(H50:I50)</f>
        <v>0.10017987282491717</v>
      </c>
      <c r="I53" s="144"/>
      <c r="J53" s="72">
        <f>MEDIAN(J50:K50)</f>
        <v>0.79632453663929104</v>
      </c>
      <c r="K53" s="144"/>
      <c r="L53" s="72">
        <f>MEDIAN(L50:M50)</f>
        <v>0.2429761664583453</v>
      </c>
      <c r="M53" s="144"/>
      <c r="N53" s="72">
        <f>MEDIAN(N50:O50)</f>
        <v>0.12665766121918046</v>
      </c>
      <c r="O53" s="144"/>
      <c r="P53" s="72">
        <f>MEDIAN(P50:Q50)</f>
        <v>106.46833387184223</v>
      </c>
      <c r="Q53" s="144"/>
      <c r="R53" s="72">
        <f>MEDIAN(R50:S50)</f>
        <v>7.4761092813744323E-2</v>
      </c>
      <c r="S53" s="144"/>
      <c r="T53" s="72">
        <f>MEDIAN(T50:U50)</f>
        <v>72.131457913395408</v>
      </c>
      <c r="U53" s="144"/>
      <c r="V53" s="72">
        <f>MEDIAN(V50:W50)</f>
        <v>1.8341409261450458E-2</v>
      </c>
      <c r="W53" s="144"/>
      <c r="X53" s="72">
        <f>MEDIAN(X50:Y50)</f>
        <v>0.38470058617694286</v>
      </c>
      <c r="Y53" s="144"/>
      <c r="Z53" s="72">
        <f>MEDIAN(Z50:AA50)</f>
        <v>26.733339449721054</v>
      </c>
      <c r="AA53" s="144"/>
      <c r="AB53" s="72">
        <f t="shared" ref="AB53:AE53" si="77">MEDIAN(AB50:AC50)</f>
        <v>70.844075198467792</v>
      </c>
      <c r="AC53" s="144"/>
      <c r="AD53" s="72">
        <f t="shared" ref="AD53:AE53" si="78">MEDIAN(AD50:AE50)</f>
        <v>111.64924445236366</v>
      </c>
      <c r="AE53" s="144"/>
    </row>
    <row r="54" spans="1:31" s="10" customFormat="1" x14ac:dyDescent="0.3">
      <c r="A54" t="s">
        <v>81</v>
      </c>
      <c r="B54" s="72">
        <f>AVERAGE(B50:C50)</f>
        <v>7.5495913398452227E-2</v>
      </c>
      <c r="C54" s="144"/>
      <c r="D54" s="72">
        <f>AVERAGE(D50:E50)</f>
        <v>1.1182195102212531</v>
      </c>
      <c r="E54" s="144"/>
      <c r="F54" s="72">
        <f>AVERAGE(F50:G50)</f>
        <v>4.6291116711769512E-2</v>
      </c>
      <c r="G54" s="144"/>
      <c r="H54" s="72">
        <f>AVERAGE(H50:I50)</f>
        <v>0.10017987282491717</v>
      </c>
      <c r="I54" s="144"/>
      <c r="J54" s="72">
        <f>AVERAGE(J50:K50)</f>
        <v>0.79632453663929104</v>
      </c>
      <c r="K54" s="144"/>
      <c r="L54" s="72">
        <f>AVERAGE(L50:M50)</f>
        <v>0.2429761664583453</v>
      </c>
      <c r="M54" s="144"/>
      <c r="N54" s="72">
        <f>AVERAGE(N50:O50)</f>
        <v>0.12665766121918046</v>
      </c>
      <c r="O54" s="144"/>
      <c r="P54" s="72">
        <f>AVERAGE(P50:Q50)</f>
        <v>106.46833387184223</v>
      </c>
      <c r="Q54" s="144"/>
      <c r="R54" s="72">
        <f>AVERAGE(R50:S50)</f>
        <v>7.4761092813744323E-2</v>
      </c>
      <c r="S54" s="144"/>
      <c r="T54" s="72">
        <f>AVERAGE(T50:U50)</f>
        <v>72.131457913395408</v>
      </c>
      <c r="U54" s="144"/>
      <c r="V54" s="72">
        <f>AVERAGE(V50:W50)</f>
        <v>1.8341409261450458E-2</v>
      </c>
      <c r="W54" s="144"/>
      <c r="X54" s="72">
        <f>AVERAGE(X50:Y50)</f>
        <v>0.38470058617694286</v>
      </c>
      <c r="Y54" s="144"/>
      <c r="Z54" s="72">
        <f>AVERAGE(Z50:AA50)</f>
        <v>26.733339449721054</v>
      </c>
      <c r="AA54" s="144"/>
      <c r="AB54" s="72">
        <f t="shared" ref="AB54:AE54" si="79">AVERAGE(AB50:AC50)</f>
        <v>70.844075198467792</v>
      </c>
      <c r="AC54" s="144"/>
      <c r="AD54" s="72">
        <f t="shared" ref="AD54:AE54" si="80">AVERAGE(AD50:AE50)</f>
        <v>111.64924445236366</v>
      </c>
      <c r="AE54" s="144"/>
    </row>
    <row r="55" spans="1:31" s="10" customFormat="1" x14ac:dyDescent="0.3">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 t="shared" ref="AB55:AE55" si="81">STDEV(AB50:AC50)</f>
        <v>#DIV/0!</v>
      </c>
      <c r="AC55" s="144"/>
      <c r="AD55" s="72" t="e">
        <f t="shared" ref="AD55:AE55" si="82">STDEV(AD50:AE50)</f>
        <v>#DIV/0!</v>
      </c>
      <c r="AE55" s="144"/>
    </row>
    <row r="56" spans="1:31" s="10" customFormat="1" x14ac:dyDescent="0.3">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31" s="10" customFormat="1" x14ac:dyDescent="0.3">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31" s="10" customFormat="1" x14ac:dyDescent="0.3">
      <c r="B58" s="139"/>
      <c r="C58" s="139"/>
      <c r="D58" s="139"/>
      <c r="E58" s="139"/>
      <c r="F58" s="139"/>
      <c r="G58" s="139"/>
      <c r="H58" s="139"/>
      <c r="I58" s="139"/>
      <c r="J58" s="139"/>
      <c r="O58" s="139"/>
      <c r="P58" s="139"/>
      <c r="Q58" s="139"/>
      <c r="S58" s="139"/>
      <c r="T58" s="139"/>
      <c r="U58" s="139"/>
      <c r="W58" s="139"/>
      <c r="Y58" s="139"/>
      <c r="AA58" s="139"/>
      <c r="AB58" s="139"/>
      <c r="AC58" s="139"/>
      <c r="AD58" s="139"/>
      <c r="AE58" s="139"/>
    </row>
    <row r="59" spans="1:31" s="118" customFormat="1" x14ac:dyDescent="0.3">
      <c r="A59" s="359"/>
      <c r="B59" s="361"/>
      <c r="C59" s="362"/>
      <c r="D59" s="365"/>
      <c r="E59" s="362"/>
      <c r="F59" s="361"/>
      <c r="G59" s="362"/>
      <c r="H59" s="365"/>
      <c r="I59" s="362"/>
      <c r="J59" s="361"/>
      <c r="K59" s="380" t="s">
        <v>115</v>
      </c>
      <c r="L59" s="361">
        <f>AVERAGE(M36,O36)</f>
        <v>1.3602813683321822</v>
      </c>
      <c r="M59" s="362">
        <f>L59-M16</f>
        <v>0.15528136833218209</v>
      </c>
      <c r="N59" s="365" t="s">
        <v>462</v>
      </c>
      <c r="O59" s="362"/>
      <c r="P59" s="361"/>
      <c r="Q59" s="362"/>
      <c r="R59" s="365"/>
      <c r="S59" s="362"/>
      <c r="T59" s="361"/>
      <c r="U59" s="362"/>
      <c r="V59" s="365"/>
      <c r="W59" s="362"/>
      <c r="X59" s="365"/>
      <c r="Y59" s="362"/>
      <c r="Z59" s="365"/>
      <c r="AA59" s="362"/>
      <c r="AB59" s="361"/>
      <c r="AC59" s="362"/>
      <c r="AD59" s="361"/>
      <c r="AE59" s="362"/>
    </row>
    <row r="60" spans="1:31" s="118" customFormat="1" x14ac:dyDescent="0.3">
      <c r="A60" s="360"/>
      <c r="B60" s="361"/>
      <c r="C60" s="363"/>
      <c r="D60" s="358"/>
      <c r="E60" s="363"/>
      <c r="F60" s="361"/>
      <c r="G60" s="363"/>
      <c r="H60" s="358"/>
      <c r="I60" s="363"/>
      <c r="J60" s="361"/>
      <c r="K60" s="381" t="s">
        <v>116</v>
      </c>
      <c r="L60" s="361">
        <f>STDEV(M36,O36)</f>
        <v>0.11935301726825312</v>
      </c>
      <c r="M60" s="363">
        <f>L60/SQRT(2)</f>
        <v>8.4395327865456879E-2</v>
      </c>
      <c r="N60" s="358" t="s">
        <v>463</v>
      </c>
      <c r="O60" s="363"/>
      <c r="P60" s="361"/>
      <c r="Q60" s="363"/>
      <c r="R60" s="358"/>
      <c r="S60" s="363"/>
      <c r="T60" s="361"/>
      <c r="U60" s="363"/>
      <c r="V60" s="358"/>
      <c r="W60" s="363"/>
      <c r="X60" s="358"/>
      <c r="Y60" s="363"/>
      <c r="Z60" s="358"/>
      <c r="AA60" s="363"/>
      <c r="AB60" s="361"/>
      <c r="AC60" s="363"/>
      <c r="AD60" s="361"/>
      <c r="AE60" s="363"/>
    </row>
    <row r="61" spans="1:31" s="118" customFormat="1" x14ac:dyDescent="0.3">
      <c r="A61" s="360"/>
      <c r="B61" s="361"/>
      <c r="C61" s="364"/>
      <c r="D61" s="365"/>
      <c r="E61" s="364"/>
      <c r="F61" s="361"/>
      <c r="G61" s="364"/>
      <c r="H61" s="365"/>
      <c r="I61" s="364"/>
      <c r="J61" s="361"/>
      <c r="K61" s="381" t="s">
        <v>117</v>
      </c>
      <c r="L61" s="361">
        <f>AVERAGE(M42,O42)</f>
        <v>244.23066820493349</v>
      </c>
      <c r="M61" s="364">
        <f>L61-M17</f>
        <v>-1.5593317950664982</v>
      </c>
      <c r="N61" s="365" t="s">
        <v>462</v>
      </c>
      <c r="O61" s="364"/>
      <c r="P61" s="361"/>
      <c r="Q61" s="364"/>
      <c r="R61" s="365"/>
      <c r="S61" s="364"/>
      <c r="T61" s="361"/>
      <c r="U61" s="364"/>
      <c r="V61" s="365"/>
      <c r="W61" s="364"/>
      <c r="X61" s="365"/>
      <c r="Y61" s="364"/>
      <c r="Z61" s="365"/>
      <c r="AA61" s="364"/>
      <c r="AB61" s="361"/>
      <c r="AC61" s="364"/>
      <c r="AD61" s="361"/>
      <c r="AE61" s="364"/>
    </row>
    <row r="62" spans="1:31" s="118" customFormat="1" x14ac:dyDescent="0.3">
      <c r="A62" s="360"/>
      <c r="B62" s="361"/>
      <c r="C62" s="363"/>
      <c r="D62" s="358"/>
      <c r="E62" s="363"/>
      <c r="F62" s="361"/>
      <c r="G62" s="363"/>
      <c r="H62" s="358"/>
      <c r="I62" s="363"/>
      <c r="J62" s="361"/>
      <c r="K62" s="381" t="s">
        <v>118</v>
      </c>
      <c r="L62" s="361">
        <f>STDEV(M42,O42)</f>
        <v>4.6560677253010452</v>
      </c>
      <c r="M62" s="363">
        <f>L62/SQRT(2)</f>
        <v>3.2923370622241919</v>
      </c>
      <c r="N62" s="358" t="s">
        <v>463</v>
      </c>
      <c r="O62" s="363"/>
      <c r="P62" s="361"/>
      <c r="Q62" s="363"/>
      <c r="R62" s="358"/>
      <c r="S62" s="363"/>
      <c r="T62" s="361"/>
      <c r="U62" s="363"/>
      <c r="V62" s="358"/>
      <c r="W62" s="363"/>
      <c r="X62" s="358"/>
      <c r="Y62" s="363"/>
      <c r="Z62" s="358"/>
      <c r="AA62" s="363"/>
      <c r="AB62" s="361"/>
      <c r="AC62" s="363"/>
      <c r="AD62" s="361"/>
      <c r="AE62" s="363"/>
    </row>
  </sheetData>
  <mergeCells count="15">
    <mergeCell ref="V10:W10"/>
    <mergeCell ref="X10:Y10"/>
    <mergeCell ref="Z10:AA10"/>
    <mergeCell ref="AB10:AC10"/>
    <mergeCell ref="AD10:AE10"/>
    <mergeCell ref="F10:G10"/>
    <mergeCell ref="H10:I10"/>
    <mergeCell ref="J10:K10"/>
    <mergeCell ref="B10:C10"/>
    <mergeCell ref="D10:E10"/>
    <mergeCell ref="L10:M10"/>
    <mergeCell ref="N10:O10"/>
    <mergeCell ref="P10:Q10"/>
    <mergeCell ref="R10:S10"/>
    <mergeCell ref="T10:U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pane xSplit="1" ySplit="2" topLeftCell="K3" activePane="bottomRight" state="frozenSplit"/>
      <selection pane="topRight"/>
      <selection pane="bottomLeft" activeCell="A3" sqref="A3"/>
      <selection pane="bottomRight" activeCell="Q36" sqref="Q36"/>
    </sheetView>
  </sheetViews>
  <sheetFormatPr defaultRowHeight="14.4" x14ac:dyDescent="0.3"/>
  <cols>
    <col min="1" max="1" width="25.5546875" customWidth="1"/>
    <col min="2" max="5" width="11.6640625" customWidth="1"/>
    <col min="6" max="6" width="9.5546875" bestFit="1" customWidth="1"/>
    <col min="7" max="7" width="12" customWidth="1"/>
    <col min="12" max="15" width="9.109375" style="49" customWidth="1"/>
  </cols>
  <sheetData>
    <row r="1" spans="1:17" s="19" customFormat="1" x14ac:dyDescent="0.3">
      <c r="A1" s="20" t="s">
        <v>39</v>
      </c>
      <c r="B1" s="20"/>
      <c r="C1" s="20"/>
      <c r="D1" s="20"/>
      <c r="E1" s="20"/>
      <c r="F1" s="20"/>
      <c r="G1" s="20"/>
      <c r="H1" s="20"/>
      <c r="I1" s="20"/>
      <c r="L1" s="47"/>
      <c r="M1" s="47"/>
      <c r="N1" s="47"/>
      <c r="O1" s="47"/>
    </row>
    <row r="2" spans="1:17" s="13" customFormat="1" x14ac:dyDescent="0.3">
      <c r="B2" s="27"/>
      <c r="C2" s="27" t="s">
        <v>91</v>
      </c>
      <c r="E2" s="13" t="s">
        <v>94</v>
      </c>
      <c r="G2" s="13" t="s">
        <v>92</v>
      </c>
      <c r="I2" s="13" t="s">
        <v>93</v>
      </c>
      <c r="K2" s="13" t="s">
        <v>95</v>
      </c>
      <c r="L2" s="48"/>
      <c r="M2" s="48" t="s">
        <v>98</v>
      </c>
      <c r="N2" s="48"/>
      <c r="O2" s="48" t="s">
        <v>99</v>
      </c>
      <c r="Q2" s="13" t="s">
        <v>96</v>
      </c>
    </row>
    <row r="3" spans="1:17" s="13" customFormat="1" x14ac:dyDescent="0.3">
      <c r="B3" s="27" t="s">
        <v>61</v>
      </c>
      <c r="C3" s="27" t="s">
        <v>60</v>
      </c>
      <c r="L3" s="48"/>
      <c r="M3" s="48"/>
      <c r="N3" s="48"/>
      <c r="O3" s="48"/>
    </row>
    <row r="4" spans="1:17" x14ac:dyDescent="0.3">
      <c r="A4" t="s">
        <v>1</v>
      </c>
      <c r="B4">
        <v>1071</v>
      </c>
      <c r="C4">
        <v>538</v>
      </c>
      <c r="D4">
        <v>847</v>
      </c>
      <c r="E4">
        <f>757</f>
        <v>757</v>
      </c>
      <c r="F4">
        <v>826</v>
      </c>
      <c r="G4">
        <v>215</v>
      </c>
      <c r="H4">
        <v>1153</v>
      </c>
      <c r="I4">
        <v>356</v>
      </c>
      <c r="J4">
        <f>128/4</f>
        <v>32</v>
      </c>
      <c r="K4">
        <f>(255-121)/4</f>
        <v>33.5</v>
      </c>
      <c r="L4" s="49">
        <v>73</v>
      </c>
      <c r="M4" s="49">
        <v>258</v>
      </c>
      <c r="N4" s="49">
        <v>103</v>
      </c>
      <c r="O4" s="49">
        <v>217</v>
      </c>
      <c r="P4" s="41">
        <f>219/4</f>
        <v>54.75</v>
      </c>
      <c r="Q4" s="41">
        <f>210/4</f>
        <v>52.5</v>
      </c>
    </row>
    <row r="5" spans="1:17" x14ac:dyDescent="0.3">
      <c r="A5" t="s">
        <v>2</v>
      </c>
      <c r="B5">
        <v>966</v>
      </c>
      <c r="C5">
        <v>715</v>
      </c>
      <c r="D5">
        <v>826</v>
      </c>
      <c r="E5">
        <v>215</v>
      </c>
      <c r="F5">
        <v>1153</v>
      </c>
      <c r="G5">
        <v>356</v>
      </c>
      <c r="H5">
        <v>952</v>
      </c>
      <c r="I5">
        <v>582</v>
      </c>
      <c r="J5">
        <f>117/4</f>
        <v>29.25</v>
      </c>
      <c r="K5">
        <f>(255-153)/4</f>
        <v>25.5</v>
      </c>
      <c r="L5" s="49">
        <v>295</v>
      </c>
      <c r="M5" s="49">
        <v>256</v>
      </c>
      <c r="N5" s="49">
        <v>627</v>
      </c>
      <c r="O5" s="49">
        <v>208</v>
      </c>
      <c r="P5" s="41">
        <f>231/4</f>
        <v>57.75</v>
      </c>
      <c r="Q5" s="41">
        <f>210/4</f>
        <v>52.5</v>
      </c>
    </row>
    <row r="6" spans="1:17" x14ac:dyDescent="0.3">
      <c r="A6" t="s">
        <v>4</v>
      </c>
      <c r="B6">
        <f t="shared" ref="B6:G6" si="0">B5-B4</f>
        <v>-105</v>
      </c>
      <c r="C6">
        <f t="shared" si="0"/>
        <v>177</v>
      </c>
      <c r="D6">
        <f t="shared" si="0"/>
        <v>-21</v>
      </c>
      <c r="E6">
        <f t="shared" si="0"/>
        <v>-542</v>
      </c>
      <c r="F6">
        <f t="shared" si="0"/>
        <v>327</v>
      </c>
      <c r="G6">
        <f t="shared" si="0"/>
        <v>141</v>
      </c>
      <c r="H6">
        <f t="shared" ref="H6:Q6" si="1">H5-H4</f>
        <v>-201</v>
      </c>
      <c r="I6">
        <f t="shared" si="1"/>
        <v>226</v>
      </c>
      <c r="J6">
        <f t="shared" si="1"/>
        <v>-2.75</v>
      </c>
      <c r="K6">
        <f t="shared" si="1"/>
        <v>-8</v>
      </c>
      <c r="L6" s="49">
        <f t="shared" si="1"/>
        <v>222</v>
      </c>
      <c r="M6" s="49">
        <f t="shared" si="1"/>
        <v>-2</v>
      </c>
      <c r="N6" s="49">
        <f t="shared" si="1"/>
        <v>524</v>
      </c>
      <c r="O6" s="49">
        <f t="shared" si="1"/>
        <v>-9</v>
      </c>
      <c r="P6" s="41">
        <f t="shared" si="1"/>
        <v>3</v>
      </c>
      <c r="Q6" s="41">
        <f t="shared" si="1"/>
        <v>0</v>
      </c>
    </row>
    <row r="7" spans="1:17" x14ac:dyDescent="0.3">
      <c r="A7" t="s">
        <v>5</v>
      </c>
      <c r="B7">
        <f t="shared" ref="B7:G7" si="2">B6^2</f>
        <v>11025</v>
      </c>
      <c r="C7">
        <f t="shared" si="2"/>
        <v>31329</v>
      </c>
      <c r="D7">
        <f t="shared" si="2"/>
        <v>441</v>
      </c>
      <c r="E7">
        <f t="shared" si="2"/>
        <v>293764</v>
      </c>
      <c r="F7">
        <f t="shared" si="2"/>
        <v>106929</v>
      </c>
      <c r="G7">
        <f t="shared" si="2"/>
        <v>19881</v>
      </c>
      <c r="H7">
        <f t="shared" ref="H7:Q7" si="3">H6^2</f>
        <v>40401</v>
      </c>
      <c r="I7">
        <f t="shared" si="3"/>
        <v>51076</v>
      </c>
      <c r="J7">
        <f t="shared" si="3"/>
        <v>7.5625</v>
      </c>
      <c r="K7">
        <f t="shared" si="3"/>
        <v>64</v>
      </c>
      <c r="L7" s="49">
        <f t="shared" si="3"/>
        <v>49284</v>
      </c>
      <c r="M7" s="49">
        <f t="shared" si="3"/>
        <v>4</v>
      </c>
      <c r="N7" s="49">
        <f t="shared" si="3"/>
        <v>274576</v>
      </c>
      <c r="O7" s="49">
        <f t="shared" si="3"/>
        <v>81</v>
      </c>
      <c r="P7" s="41">
        <f t="shared" si="3"/>
        <v>9</v>
      </c>
      <c r="Q7" s="41">
        <f t="shared" si="3"/>
        <v>0</v>
      </c>
    </row>
    <row r="8" spans="1:17" x14ac:dyDescent="0.3">
      <c r="A8" t="s">
        <v>6</v>
      </c>
      <c r="C8">
        <f>SQRT(SUM(B7:C7))</f>
        <v>205.80087463370995</v>
      </c>
      <c r="E8">
        <f>SQRT(SUM(D7:E7))</f>
        <v>542.40667400023756</v>
      </c>
      <c r="G8">
        <f>SQRT(SUM(F7:G7))</f>
        <v>356.10391741737413</v>
      </c>
      <c r="I8">
        <f>SQRT(SUM(H7:I7))</f>
        <v>302.45164902840253</v>
      </c>
      <c r="K8">
        <f>SQRT(SUM(J7:K7))</f>
        <v>8.4594621578443157</v>
      </c>
      <c r="M8" s="49">
        <f>SQRT(SUM(L7:M7))</f>
        <v>222.00900882621858</v>
      </c>
      <c r="O8" s="49">
        <f>SQRT(SUM(N7:O7))</f>
        <v>524.07728437702769</v>
      </c>
      <c r="P8" s="41"/>
      <c r="Q8" s="41">
        <f>SQRT(SUM(P7:Q7))</f>
        <v>3</v>
      </c>
    </row>
    <row r="9" spans="1:17" x14ac:dyDescent="0.3">
      <c r="A9" t="s">
        <v>7</v>
      </c>
      <c r="C9">
        <f>MOD(ATAN2(C6,B6)*180/PI()+270,360)</f>
        <v>239.32271997820357</v>
      </c>
      <c r="E9">
        <f>MOD(ATAN2(E6,D6)*180/PI()+270,360)</f>
        <v>92.218837310913074</v>
      </c>
      <c r="G9">
        <f>MOD(ATAN2(G6,F6)*180/PI()+270,360)</f>
        <v>336.67464911902414</v>
      </c>
      <c r="I9">
        <f>MOD(ATAN2(I6,H6)*180/PI()+270,360)</f>
        <v>228.35072870898904</v>
      </c>
      <c r="K9">
        <f>MOD(ATAN2(K6,J6)*180/PI()+270,360)</f>
        <v>108.97040780848653</v>
      </c>
      <c r="M9" s="49">
        <f>MOD(ATAN2(M6,L6)*180/PI()+270,360)</f>
        <v>0.5161642297648541</v>
      </c>
      <c r="O9" s="49">
        <f>MOD(ATAN2(O6,N6)*180/PI()+270,360)</f>
        <v>0.98399106445805273</v>
      </c>
      <c r="P9" s="41"/>
      <c r="Q9" s="41">
        <f>MOD(ATAN2(Q6,P6)*180/PI()+270,360)</f>
        <v>0</v>
      </c>
    </row>
    <row r="10" spans="1:17" s="17" customFormat="1" ht="117" customHeight="1" x14ac:dyDescent="0.3">
      <c r="A10" s="16" t="s">
        <v>40</v>
      </c>
      <c r="B10" s="393" t="s">
        <v>102</v>
      </c>
      <c r="C10" s="393"/>
      <c r="D10" s="393" t="s">
        <v>100</v>
      </c>
      <c r="E10" s="393"/>
      <c r="F10" s="393" t="s">
        <v>100</v>
      </c>
      <c r="G10" s="393"/>
      <c r="H10" s="393" t="s">
        <v>100</v>
      </c>
      <c r="I10" s="393"/>
      <c r="J10" s="391" t="s">
        <v>101</v>
      </c>
      <c r="K10" s="391"/>
      <c r="L10" s="395"/>
      <c r="M10" s="395"/>
      <c r="N10" s="395"/>
      <c r="O10" s="395"/>
      <c r="P10" s="394" t="s">
        <v>97</v>
      </c>
      <c r="Q10" s="394"/>
    </row>
    <row r="11" spans="1:17" s="19" customFormat="1" x14ac:dyDescent="0.3">
      <c r="A11" s="20" t="s">
        <v>37</v>
      </c>
      <c r="B11" s="20"/>
      <c r="C11" s="20"/>
      <c r="D11" s="20"/>
      <c r="E11" s="20"/>
      <c r="F11" s="20"/>
      <c r="G11" s="20"/>
      <c r="L11" s="47"/>
      <c r="M11" s="47"/>
      <c r="N11" s="47"/>
      <c r="O11" s="47"/>
    </row>
    <row r="12" spans="1:17" s="1" customFormat="1" x14ac:dyDescent="0.3">
      <c r="B12" s="1" t="s">
        <v>62</v>
      </c>
      <c r="C12" s="1" t="s">
        <v>63</v>
      </c>
      <c r="F12" s="6"/>
      <c r="L12" s="50"/>
      <c r="M12" s="50"/>
      <c r="N12" s="50"/>
      <c r="O12" s="50"/>
    </row>
    <row r="13" spans="1:17" x14ac:dyDescent="0.3">
      <c r="A13" t="s">
        <v>18</v>
      </c>
      <c r="F13" s="5"/>
      <c r="G13" s="2"/>
    </row>
    <row r="14" spans="1:17" x14ac:dyDescent="0.3">
      <c r="A14" t="s">
        <v>17</v>
      </c>
      <c r="F14" s="5"/>
      <c r="G14" s="2"/>
    </row>
    <row r="15" spans="1:17" x14ac:dyDescent="0.3">
      <c r="A15" t="s">
        <v>14</v>
      </c>
      <c r="F15" s="5"/>
      <c r="G15" s="5"/>
    </row>
    <row r="16" spans="1:17" x14ac:dyDescent="0.3">
      <c r="A16" t="s">
        <v>13</v>
      </c>
      <c r="C16">
        <v>46.1</v>
      </c>
      <c r="E16">
        <v>120.7</v>
      </c>
      <c r="F16" s="4"/>
      <c r="G16" s="40">
        <v>79.400000000000006</v>
      </c>
      <c r="I16">
        <v>66.900000000000006</v>
      </c>
      <c r="K16">
        <v>2.323</v>
      </c>
      <c r="M16" s="49">
        <f>M8*$C$29</f>
        <v>49.905764418216933</v>
      </c>
      <c r="O16" s="49">
        <f>O8*$C$29</f>
        <v>117.80818098031192</v>
      </c>
      <c r="P16" s="41"/>
      <c r="Q16" s="41">
        <v>0.92400000000000004</v>
      </c>
    </row>
    <row r="17" spans="1:17" x14ac:dyDescent="0.3">
      <c r="A17" t="s">
        <v>7</v>
      </c>
      <c r="C17">
        <v>149</v>
      </c>
      <c r="E17">
        <v>1</v>
      </c>
      <c r="G17">
        <v>246</v>
      </c>
      <c r="I17">
        <v>137</v>
      </c>
      <c r="K17">
        <v>8.68</v>
      </c>
      <c r="M17" s="49">
        <v>270</v>
      </c>
      <c r="O17" s="49">
        <v>270</v>
      </c>
      <c r="P17" s="41"/>
      <c r="Q17" s="41">
        <v>265.95</v>
      </c>
    </row>
    <row r="18" spans="1:17" x14ac:dyDescent="0.3">
      <c r="A18" t="s">
        <v>32</v>
      </c>
      <c r="B18" s="9">
        <f>-C16*SIN((C17)/180*PI())</f>
        <v>-23.743255253353507</v>
      </c>
      <c r="C18" s="9">
        <f>C16*COS((C17)/180*PI())</f>
        <v>-39.515412562367374</v>
      </c>
      <c r="D18" s="9">
        <f>-E16*SIN((E17)/180*PI())</f>
        <v>-2.1065054569801198</v>
      </c>
      <c r="E18" s="9">
        <f>E16*COS((E17)/180*PI())</f>
        <v>120.68161680537644</v>
      </c>
      <c r="F18" s="9">
        <f>-G16*SIN((G17)/180*PI())</f>
        <v>72.535509336822528</v>
      </c>
      <c r="G18" s="9">
        <f>G16*COS((G17)/180*PI())</f>
        <v>-32.294889460218528</v>
      </c>
      <c r="H18" s="9">
        <f>-I16*SIN((I17)/180*PI())</f>
        <v>-45.625690288181161</v>
      </c>
      <c r="I18" s="9">
        <f>I16*COS((I17)/180*PI())</f>
        <v>-48.927562638322506</v>
      </c>
      <c r="J18" s="9">
        <f>-K16*SIN((K17)/180*PI())</f>
        <v>-0.35057731414959054</v>
      </c>
      <c r="K18" s="9">
        <f>K16*COS((K17)/180*PI())</f>
        <v>2.296393813526691</v>
      </c>
      <c r="L18" s="9">
        <f>-M16*SIN((M17)/180*PI())</f>
        <v>49.905764418216933</v>
      </c>
      <c r="M18" s="9">
        <f>M16*COS((M17)/180*PI())</f>
        <v>-9.1712955252018093E-15</v>
      </c>
      <c r="N18" s="9">
        <f>-O16*SIN((O17)/180*PI())</f>
        <v>117.80818098031192</v>
      </c>
      <c r="O18" s="9">
        <f>O16*COS((O17)/180*PI())</f>
        <v>-2.1649876635543635E-14</v>
      </c>
      <c r="P18" s="42">
        <f>-Q16*SIN((Q17)/180*PI())</f>
        <v>0.92169258388863351</v>
      </c>
      <c r="Q18" s="42">
        <f>Q16*COS((Q17)/180*PI())</f>
        <v>-6.5259335000398225E-2</v>
      </c>
    </row>
    <row r="19" spans="1:17" s="14" customFormat="1" ht="69" customHeight="1" x14ac:dyDescent="0.3">
      <c r="A19" s="15" t="s">
        <v>40</v>
      </c>
      <c r="B19" s="389" t="s">
        <v>74</v>
      </c>
      <c r="C19" s="389"/>
      <c r="D19" s="390"/>
      <c r="E19" s="390"/>
      <c r="F19" s="21"/>
      <c r="G19" s="21"/>
      <c r="L19" s="51"/>
      <c r="M19" s="51"/>
      <c r="N19" s="51"/>
      <c r="O19" s="51"/>
    </row>
    <row r="20" spans="1:17" s="19" customFormat="1" x14ac:dyDescent="0.3">
      <c r="A20" s="18" t="s">
        <v>38</v>
      </c>
      <c r="L20" s="47"/>
      <c r="M20" s="47"/>
      <c r="N20" s="47"/>
      <c r="O20" s="47"/>
    </row>
    <row r="21" spans="1:17" x14ac:dyDescent="0.3">
      <c r="A21" s="7" t="s">
        <v>65</v>
      </c>
      <c r="C21">
        <f>C16/C8</f>
        <v>0.22400293527444937</v>
      </c>
      <c r="E21">
        <f>E16/E8</f>
        <v>0.22252676042837027</v>
      </c>
      <c r="G21">
        <f>G16/G8</f>
        <v>0.22296862268700815</v>
      </c>
      <c r="I21">
        <f>I16/I8</f>
        <v>0.22119237972386649</v>
      </c>
      <c r="K21">
        <f>K16/K8</f>
        <v>0.27460374627315065</v>
      </c>
      <c r="P21" s="41"/>
      <c r="Q21" s="41">
        <f>Q16/Q8</f>
        <v>0.308</v>
      </c>
    </row>
    <row r="22" spans="1:17" x14ac:dyDescent="0.3">
      <c r="A22" t="s">
        <v>34</v>
      </c>
      <c r="B22">
        <f>STDEV(B21:K21)</f>
        <v>2.3246175559878516E-2</v>
      </c>
      <c r="C22">
        <f>AVERAGE(B21:K21)</f>
        <v>0.23305888887736897</v>
      </c>
      <c r="P22" s="41"/>
      <c r="Q22" s="41"/>
    </row>
    <row r="23" spans="1:17" x14ac:dyDescent="0.3">
      <c r="A23" t="s">
        <v>35</v>
      </c>
      <c r="C23">
        <f>C21-$C22</f>
        <v>-9.0559536029196086E-3</v>
      </c>
      <c r="E23">
        <f>E21-$C22</f>
        <v>-1.0532128448998701E-2</v>
      </c>
      <c r="G23">
        <f>G21-$C22</f>
        <v>-1.0090266190360825E-2</v>
      </c>
      <c r="I23">
        <f>I21-$C22</f>
        <v>-1.1866509153502486E-2</v>
      </c>
      <c r="K23">
        <f>K21-$C22</f>
        <v>4.1544857395781676E-2</v>
      </c>
      <c r="P23" s="41"/>
      <c r="Q23" s="41">
        <f>Q21-$C22</f>
        <v>7.4941111122631021E-2</v>
      </c>
    </row>
    <row r="24" spans="1:17" x14ac:dyDescent="0.3">
      <c r="A24" s="7" t="s">
        <v>64</v>
      </c>
      <c r="C24" s="29">
        <f>MOD(C9-C17,360)</f>
        <v>90.322719978203565</v>
      </c>
      <c r="E24">
        <f>MOD(E9-E17,360)</f>
        <v>91.218837310913074</v>
      </c>
      <c r="G24">
        <f>MOD(G9-G17,360)</f>
        <v>90.674649119024139</v>
      </c>
      <c r="I24">
        <f>MOD(I9-I17,360)</f>
        <v>91.350728708989038</v>
      </c>
      <c r="K24">
        <f>MOD(K9-K17,360)</f>
        <v>100.29040780848652</v>
      </c>
      <c r="M24" s="49">
        <f>MOD(M9-M17,360)</f>
        <v>90.516164229764854</v>
      </c>
      <c r="O24" s="49">
        <f>MOD(O9-O17,360)</f>
        <v>90.983991064458053</v>
      </c>
      <c r="P24" s="41"/>
      <c r="Q24" s="41">
        <f>MOD(Q9-Q17,360)</f>
        <v>94.050000000000011</v>
      </c>
    </row>
    <row r="25" spans="1:17" x14ac:dyDescent="0.3">
      <c r="A25" t="s">
        <v>36</v>
      </c>
      <c r="B25">
        <f>STDEV(B24:O24)</f>
        <v>3.5894112474808337</v>
      </c>
      <c r="C25">
        <f>AVERAGE(B24:O24)</f>
        <v>92.193928317119898</v>
      </c>
      <c r="P25" s="41"/>
      <c r="Q25" s="41"/>
    </row>
    <row r="26" spans="1:17" x14ac:dyDescent="0.3">
      <c r="A26" t="s">
        <v>35</v>
      </c>
      <c r="C26">
        <f>C24-$C25</f>
        <v>-1.8712083389163325</v>
      </c>
      <c r="E26">
        <f>E24-$C25</f>
        <v>-0.97509100620682432</v>
      </c>
      <c r="G26">
        <f>G24-$C25</f>
        <v>-1.5192791980957594</v>
      </c>
      <c r="I26">
        <f>I24-$C25</f>
        <v>-0.8431996081308597</v>
      </c>
      <c r="K26">
        <f>K24-$C25</f>
        <v>8.0964794913666225</v>
      </c>
      <c r="M26" s="49">
        <f>M24-$C25</f>
        <v>-1.6777640873550439</v>
      </c>
      <c r="O26" s="49">
        <f>O24-$C25</f>
        <v>-1.2099372526618453</v>
      </c>
      <c r="P26" s="41"/>
      <c r="Q26" s="41">
        <f>Q24-$C25</f>
        <v>1.8560716828801134</v>
      </c>
    </row>
    <row r="27" spans="1:17" x14ac:dyDescent="0.3">
      <c r="A27" t="s">
        <v>67</v>
      </c>
      <c r="C27">
        <f>SQRT(C16)</f>
        <v>6.7896980787071826</v>
      </c>
      <c r="E27">
        <f>SQRT(E16)</f>
        <v>10.986355173577815</v>
      </c>
      <c r="G27">
        <f>SQRT(G16)</f>
        <v>8.9106677639781857</v>
      </c>
      <c r="I27">
        <f>SQRT(I16)</f>
        <v>8.1792420186714132</v>
      </c>
      <c r="K27">
        <f>SQRT(K16)</f>
        <v>1.5241391012633985</v>
      </c>
      <c r="M27" s="49">
        <f>SQRT(M16)</f>
        <v>7.0644012073364673</v>
      </c>
      <c r="O27" s="49">
        <f>SQRT(O16)</f>
        <v>10.853947714095177</v>
      </c>
      <c r="P27" s="41"/>
      <c r="Q27" s="41">
        <f>SQRT(Q16)</f>
        <v>0.9612491872558333</v>
      </c>
    </row>
    <row r="28" spans="1:17" x14ac:dyDescent="0.3">
      <c r="A28" t="s">
        <v>68</v>
      </c>
      <c r="C28">
        <f>C27*C21</f>
        <v>1.5209122992576982</v>
      </c>
      <c r="E28">
        <f>E27*E21</f>
        <v>2.4447580256917369</v>
      </c>
      <c r="G28">
        <f>G27*G21</f>
        <v>1.9867993185557387</v>
      </c>
      <c r="I28">
        <f>I27*I21</f>
        <v>1.8091860064473715</v>
      </c>
      <c r="K28">
        <f>K27*K21</f>
        <v>0.41853430704832212</v>
      </c>
      <c r="P28" s="41"/>
      <c r="Q28" s="41">
        <f>Q27*Q21</f>
        <v>0.29606474967479668</v>
      </c>
    </row>
    <row r="29" spans="1:17" x14ac:dyDescent="0.3">
      <c r="A29" t="s">
        <v>69</v>
      </c>
      <c r="C29" s="7">
        <f>SUM(B28:K28)/SUM(B27:K27)</f>
        <v>0.22479161851166832</v>
      </c>
      <c r="P29" s="41"/>
      <c r="Q29" s="41"/>
    </row>
    <row r="30" spans="1:17" x14ac:dyDescent="0.3">
      <c r="A30" t="s">
        <v>72</v>
      </c>
      <c r="C30" s="7">
        <f>C21-$C$29</f>
        <v>-7.8868323721895117E-4</v>
      </c>
      <c r="E30" s="7">
        <f>E21-$C$29</f>
        <v>-2.2648580832980436E-3</v>
      </c>
      <c r="G30" s="7">
        <f>G21-$C$29</f>
        <v>-1.8229958246601674E-3</v>
      </c>
      <c r="I30" s="7">
        <f>I21-$C$29</f>
        <v>-3.5992387878018284E-3</v>
      </c>
      <c r="K30" s="7">
        <f>K21-$C$29</f>
        <v>4.9812127761482333E-2</v>
      </c>
      <c r="M30" s="52">
        <f>M21-$C$29</f>
        <v>-0.22479161851166832</v>
      </c>
      <c r="O30" s="52">
        <f>O21-$C$29</f>
        <v>-0.22479161851166832</v>
      </c>
      <c r="P30" s="41"/>
      <c r="Q30" s="43">
        <f>Q21-$C$29</f>
        <v>8.3208381488331679E-2</v>
      </c>
    </row>
    <row r="31" spans="1:17" x14ac:dyDescent="0.3">
      <c r="A31" t="s">
        <v>70</v>
      </c>
      <c r="C31">
        <f>C27*C24</f>
        <v>613.26399829961565</v>
      </c>
      <c r="E31">
        <f>E27*E24</f>
        <v>1002.1625452185028</v>
      </c>
      <c r="G31">
        <f>G27*G24</f>
        <v>807.97167291492144</v>
      </c>
      <c r="I31">
        <f>I27*I24</f>
        <v>747.1797186928161</v>
      </c>
      <c r="K31">
        <f>K27*K24</f>
        <v>152.85653202256637</v>
      </c>
      <c r="M31" s="49">
        <f>M27*M24</f>
        <v>639.44249986821683</v>
      </c>
      <c r="O31" s="49">
        <f>O27*O24</f>
        <v>987.53548183333055</v>
      </c>
      <c r="P31" s="41"/>
      <c r="Q31" s="41">
        <f>Q27*Q24</f>
        <v>90.405486061411139</v>
      </c>
    </row>
    <row r="32" spans="1:17" x14ac:dyDescent="0.3">
      <c r="A32" t="s">
        <v>71</v>
      </c>
      <c r="C32" s="7">
        <f>SUM(B31:O31)/SUM(B27:O27)</f>
        <v>91.153629912899177</v>
      </c>
      <c r="P32" s="41"/>
      <c r="Q32" s="41"/>
    </row>
    <row r="33" spans="1:17" x14ac:dyDescent="0.3">
      <c r="A33" t="s">
        <v>73</v>
      </c>
      <c r="C33" s="7">
        <f>C24-$C$32</f>
        <v>-0.8309099346956117</v>
      </c>
      <c r="E33" s="7">
        <f>E24-$C$32</f>
        <v>6.5207398013896523E-2</v>
      </c>
      <c r="G33" s="7">
        <f>G24-$C$32</f>
        <v>-0.47898079387503856</v>
      </c>
      <c r="I33" s="7">
        <f>I24-$C$32</f>
        <v>0.19709879608986114</v>
      </c>
      <c r="K33" s="7">
        <f>K24-$C$32</f>
        <v>9.1367778955873433</v>
      </c>
      <c r="M33" s="52">
        <f>M24-$C$32</f>
        <v>-0.63746568313432306</v>
      </c>
      <c r="O33" s="52">
        <f>O24-$C$32</f>
        <v>-0.16963884844112442</v>
      </c>
      <c r="P33" s="41"/>
      <c r="Q33" s="43">
        <f>Q24-$C$32</f>
        <v>2.8963700871008342</v>
      </c>
    </row>
    <row r="34" spans="1:17" s="14" customFormat="1" ht="75.75" customHeight="1" x14ac:dyDescent="0.3">
      <c r="A34" s="15" t="s">
        <v>40</v>
      </c>
      <c r="B34" s="391"/>
      <c r="C34" s="391"/>
      <c r="L34" s="51"/>
      <c r="M34" s="51"/>
      <c r="N34" s="51"/>
      <c r="O34" s="51"/>
      <c r="P34" s="44"/>
      <c r="Q34" s="44"/>
    </row>
    <row r="35" spans="1:17" s="19" customFormat="1" x14ac:dyDescent="0.3">
      <c r="A35" s="20" t="s">
        <v>54</v>
      </c>
      <c r="B35" s="20"/>
      <c r="C35" s="20"/>
      <c r="D35" s="20"/>
      <c r="E35" s="20"/>
      <c r="F35" s="20"/>
      <c r="G35" s="20"/>
      <c r="L35" s="47"/>
      <c r="M35" s="47"/>
      <c r="N35" s="47"/>
      <c r="O35" s="47"/>
    </row>
    <row r="36" spans="1:17" x14ac:dyDescent="0.3">
      <c r="A36" s="7" t="s">
        <v>42</v>
      </c>
      <c r="C36" s="4">
        <f>C8*$C29</f>
        <v>46.262311700028604</v>
      </c>
      <c r="E36" s="4">
        <f>E8*$C29</f>
        <v>121.92847414004424</v>
      </c>
      <c r="G36" s="4">
        <f>G8*$C29</f>
        <v>80.049175954597004</v>
      </c>
      <c r="I36" s="4">
        <f>I8*$C29</f>
        <v>67.988595706617659</v>
      </c>
      <c r="K36" s="4">
        <f>K8*$C29</f>
        <v>1.9016161902000339</v>
      </c>
      <c r="P36" s="41"/>
      <c r="Q36" s="45">
        <f>Q8*$C29</f>
        <v>0.67437485553500498</v>
      </c>
    </row>
    <row r="37" spans="1:17" x14ac:dyDescent="0.3">
      <c r="A37" t="s">
        <v>50</v>
      </c>
      <c r="C37" s="4">
        <f>C36-C16</f>
        <v>0.16231170002860296</v>
      </c>
      <c r="E37" s="4">
        <f>E36-E16</f>
        <v>1.2284741400442414</v>
      </c>
      <c r="G37" s="4">
        <f>G36-G16</f>
        <v>0.64917595459699839</v>
      </c>
      <c r="I37" s="4">
        <f>I36-I16</f>
        <v>1.088595706617653</v>
      </c>
      <c r="K37" s="4">
        <f>K36-K16</f>
        <v>-0.42138380979996604</v>
      </c>
      <c r="P37" s="41"/>
      <c r="Q37" s="45">
        <f>Q36-Q16</f>
        <v>-0.24962514446499506</v>
      </c>
    </row>
    <row r="38" spans="1:17" x14ac:dyDescent="0.3">
      <c r="A38" t="s">
        <v>51</v>
      </c>
      <c r="C38" s="23">
        <f>C37/C16</f>
        <v>3.5208611719870489E-3</v>
      </c>
      <c r="E38" s="23">
        <f>E37/E16</f>
        <v>1.0177913339223209E-2</v>
      </c>
      <c r="G38" s="23">
        <f>G37/G16</f>
        <v>8.1760195793072841E-3</v>
      </c>
      <c r="I38" s="23">
        <f>I37/I16</f>
        <v>1.6271983656467159E-2</v>
      </c>
      <c r="K38" s="23">
        <f>K37/K16</f>
        <v>-0.18139638820489282</v>
      </c>
      <c r="P38" s="41"/>
      <c r="Q38" s="46">
        <f>Q37/Q16</f>
        <v>-0.27015708275432365</v>
      </c>
    </row>
    <row r="39" spans="1:17" x14ac:dyDescent="0.3">
      <c r="A39" t="s">
        <v>53</v>
      </c>
      <c r="B39">
        <f>AVERAGE(B37:K37)</f>
        <v>0.54143473829750588</v>
      </c>
      <c r="C39" s="23">
        <f>AVERAGE(C38:K38)</f>
        <v>-2.8649922091581626E-2</v>
      </c>
      <c r="E39" s="4"/>
      <c r="G39" s="4"/>
      <c r="I39" s="4"/>
      <c r="K39" s="4"/>
      <c r="P39" s="41"/>
      <c r="Q39" s="45"/>
    </row>
    <row r="40" spans="1:17" x14ac:dyDescent="0.3">
      <c r="A40" t="s">
        <v>52</v>
      </c>
      <c r="B40">
        <f>STDEV(B37:K37)</f>
        <v>0.68076616198258855</v>
      </c>
      <c r="C40" s="23">
        <f>STDEV(C38:K38)</f>
        <v>8.5510482699670196E-2</v>
      </c>
      <c r="E40" s="4"/>
      <c r="G40" s="4"/>
      <c r="I40" s="4"/>
      <c r="K40" s="4"/>
      <c r="P40" s="41"/>
      <c r="Q40" s="45"/>
    </row>
    <row r="41" spans="1:17" x14ac:dyDescent="0.3">
      <c r="C41" s="23"/>
      <c r="E41" s="4"/>
      <c r="G41" s="4"/>
      <c r="I41" s="4"/>
      <c r="K41" s="4"/>
      <c r="P41" s="41"/>
      <c r="Q41" s="45"/>
    </row>
    <row r="42" spans="1:17" x14ac:dyDescent="0.3">
      <c r="A42" s="7" t="s">
        <v>43</v>
      </c>
      <c r="C42" s="4">
        <f>MOD(C9-$C32,360)</f>
        <v>148.16909006530437</v>
      </c>
      <c r="E42" s="4">
        <f>MOD(E9-$C32,360)</f>
        <v>1.0652073980138965</v>
      </c>
      <c r="G42" s="4">
        <f>MOD(G9-$C32,360)</f>
        <v>245.52101920612495</v>
      </c>
      <c r="I42" s="4">
        <f>MOD(I9-$C32,360)</f>
        <v>137.19709879608985</v>
      </c>
      <c r="K42" s="4">
        <f>MOD(K9-$C32,360)</f>
        <v>17.81677789558735</v>
      </c>
      <c r="P42" s="41"/>
      <c r="Q42" s="45">
        <f>MOD(Q9-$C32,360)</f>
        <v>268.84637008710081</v>
      </c>
    </row>
    <row r="43" spans="1:17" x14ac:dyDescent="0.3">
      <c r="A43" t="s">
        <v>55</v>
      </c>
      <c r="C43" s="4">
        <f>C42-C17</f>
        <v>-0.83090993469562591</v>
      </c>
      <c r="E43" s="4">
        <f>E42-E17</f>
        <v>6.5207398013896523E-2</v>
      </c>
      <c r="G43" s="4">
        <f>G42-G17</f>
        <v>-0.47898079387505277</v>
      </c>
      <c r="I43" s="4">
        <f>I42-I17</f>
        <v>0.19709879608984693</v>
      </c>
      <c r="K43" s="4">
        <f>K42-K17</f>
        <v>9.1367778955873504</v>
      </c>
      <c r="P43" s="41"/>
      <c r="Q43" s="45">
        <f>Q42-Q17</f>
        <v>2.89637008710082</v>
      </c>
    </row>
    <row r="44" spans="1:17" x14ac:dyDescent="0.3">
      <c r="A44" t="s">
        <v>56</v>
      </c>
      <c r="B44">
        <f>AVERAGE(B43:K43)</f>
        <v>1.617838672224083</v>
      </c>
      <c r="C44" s="4"/>
      <c r="E44" s="4"/>
      <c r="G44" s="4"/>
      <c r="I44" s="4"/>
      <c r="K44" s="4"/>
      <c r="P44" s="41"/>
      <c r="Q44" s="41"/>
    </row>
    <row r="45" spans="1:17" x14ac:dyDescent="0.3">
      <c r="A45" t="s">
        <v>57</v>
      </c>
      <c r="B45">
        <f>STDEV(B43:K43)</f>
        <v>4.223642809448604</v>
      </c>
      <c r="C45" s="4"/>
      <c r="E45" s="4"/>
      <c r="G45" s="4"/>
      <c r="I45" s="4"/>
      <c r="K45" s="4"/>
      <c r="P45" s="41"/>
      <c r="Q45" s="41"/>
    </row>
    <row r="46" spans="1:17" x14ac:dyDescent="0.3">
      <c r="C46" s="4"/>
      <c r="E46" s="4"/>
      <c r="G46" s="4"/>
      <c r="I46" s="4"/>
      <c r="K46" s="4"/>
      <c r="P46" s="41"/>
      <c r="Q46" s="41"/>
    </row>
    <row r="47" spans="1:17" x14ac:dyDescent="0.3">
      <c r="A47" t="s">
        <v>44</v>
      </c>
      <c r="B47" s="9">
        <f>-C36*SIN((C42)/180*PI())</f>
        <v>-24.399400995069282</v>
      </c>
      <c r="C47" s="9">
        <f>C36*COS((C42)/180*PI())</f>
        <v>-39.304843402720934</v>
      </c>
      <c r="D47" s="9">
        <f>-E36*SIN((E42)/180*PI())</f>
        <v>-2.2666875645727154</v>
      </c>
      <c r="E47" s="9">
        <f>E36*COS((E42)/180*PI())</f>
        <v>121.9074031123789</v>
      </c>
      <c r="F47" s="9">
        <f>-G36*SIN((G42)/180*PI())</f>
        <v>72.853823025337121</v>
      </c>
      <c r="G47" s="9">
        <f>G36*COS((G42)/180*PI())</f>
        <v>-33.169127839044705</v>
      </c>
      <c r="H47" s="9">
        <f>-I36*SIN((I42)/180*PI())</f>
        <v>-46.19678605085079</v>
      </c>
      <c r="I47" s="9">
        <f>I36*COS((I42)/180*PI())</f>
        <v>-49.882923979352164</v>
      </c>
      <c r="J47" s="9">
        <f>-K36*SIN((K42)/180*PI())</f>
        <v>-0.58184530889333075</v>
      </c>
      <c r="K47" s="9">
        <f>K36*COS((K42)/180*PI())</f>
        <v>1.8104143645446797</v>
      </c>
      <c r="P47" s="42">
        <f>-Q36*SIN((Q42)/180*PI())</f>
        <v>0.67423816310836382</v>
      </c>
      <c r="Q47" s="42">
        <f>Q36*COS((Q42)/180*PI())</f>
        <v>-1.3577377733501133E-2</v>
      </c>
    </row>
    <row r="48" spans="1:17" s="10" customFormat="1" x14ac:dyDescent="0.3">
      <c r="A48" t="s">
        <v>45</v>
      </c>
      <c r="B48" s="9">
        <f t="shared" ref="B48:G48" si="4">B47-B18</f>
        <v>-0.65614574171577544</v>
      </c>
      <c r="C48" s="9">
        <f t="shared" si="4"/>
        <v>0.21056915964643963</v>
      </c>
      <c r="D48" s="9">
        <f t="shared" si="4"/>
        <v>-0.16018210759259555</v>
      </c>
      <c r="E48" s="9">
        <f t="shared" si="4"/>
        <v>1.2257863070024655</v>
      </c>
      <c r="F48" s="9">
        <f t="shared" si="4"/>
        <v>0.31831368851459274</v>
      </c>
      <c r="G48" s="9">
        <f t="shared" si="4"/>
        <v>-0.87423837882617761</v>
      </c>
      <c r="H48" s="9">
        <f>H47-H18</f>
        <v>-0.57109576266962847</v>
      </c>
      <c r="I48" s="9">
        <f>I47-I18</f>
        <v>-0.95536134102965775</v>
      </c>
      <c r="J48" s="9">
        <f>J47-J18</f>
        <v>-0.23126799474374021</v>
      </c>
      <c r="K48" s="9">
        <f>K47-K18</f>
        <v>-0.48597944898201129</v>
      </c>
      <c r="L48" s="49"/>
      <c r="M48" s="49"/>
      <c r="N48" s="49"/>
      <c r="O48" s="49"/>
      <c r="P48" s="42">
        <f>P47-P18</f>
        <v>-0.24745442078026969</v>
      </c>
      <c r="Q48" s="42">
        <f>Q47-Q18</f>
        <v>5.1681957266897088E-2</v>
      </c>
    </row>
    <row r="49" spans="1:17" x14ac:dyDescent="0.3">
      <c r="A49" t="s">
        <v>46</v>
      </c>
      <c r="B49">
        <f t="shared" ref="B49:G49" si="5">B48^2</f>
        <v>0.43052723437174512</v>
      </c>
      <c r="C49">
        <f t="shared" si="5"/>
        <v>4.4339370994207782E-2</v>
      </c>
      <c r="D49">
        <f t="shared" si="5"/>
        <v>2.5658307592805855E-2</v>
      </c>
      <c r="E49">
        <f t="shared" si="5"/>
        <v>1.5025520704347426</v>
      </c>
      <c r="F49">
        <f t="shared" si="5"/>
        <v>0.10132360429576517</v>
      </c>
      <c r="G49">
        <f t="shared" si="5"/>
        <v>0.76429274301262318</v>
      </c>
      <c r="H49">
        <f>H48^2</f>
        <v>0.32615037013920462</v>
      </c>
      <c r="I49">
        <f>I48^2</f>
        <v>0.91271529193398604</v>
      </c>
      <c r="J49">
        <f>J48^2</f>
        <v>5.348488539279065E-2</v>
      </c>
      <c r="K49">
        <f>K48^2</f>
        <v>0.23617602483285932</v>
      </c>
      <c r="P49" s="41">
        <f>P48^2</f>
        <v>6.1233690363698766E-2</v>
      </c>
      <c r="Q49" s="41">
        <f>Q48^2</f>
        <v>2.6710247069373768E-3</v>
      </c>
    </row>
    <row r="50" spans="1:17" s="10" customFormat="1" x14ac:dyDescent="0.3">
      <c r="A50" t="s">
        <v>47</v>
      </c>
      <c r="B50" s="9"/>
      <c r="C50" s="9">
        <f>SQRT(B49+C49)</f>
        <v>0.68910565617033859</v>
      </c>
      <c r="D50" s="9"/>
      <c r="E50" s="9">
        <f>SQRT(D49+E49)</f>
        <v>1.2362080642139286</v>
      </c>
      <c r="F50" s="9"/>
      <c r="G50" s="9">
        <f>SQRT(F49+G49)</f>
        <v>0.93038505324859355</v>
      </c>
      <c r="H50" s="9"/>
      <c r="I50" s="9">
        <f>SQRT(H49+I49)</f>
        <v>1.1130434232648745</v>
      </c>
      <c r="J50" s="9"/>
      <c r="K50" s="9">
        <f>SQRT(J49+K49)</f>
        <v>0.53820155167525296</v>
      </c>
      <c r="L50" s="49"/>
      <c r="M50" s="49"/>
      <c r="N50" s="49"/>
      <c r="O50" s="49"/>
      <c r="P50" s="42"/>
      <c r="Q50" s="42">
        <f>SQRT(P49+Q49)</f>
        <v>0.25279381928883493</v>
      </c>
    </row>
    <row r="51" spans="1:17" s="10" customFormat="1" x14ac:dyDescent="0.3">
      <c r="A51" t="s">
        <v>48</v>
      </c>
      <c r="B51" s="9"/>
      <c r="C51" s="11">
        <f>C50/C36</f>
        <v>1.4895616558000764E-2</v>
      </c>
      <c r="E51" s="11">
        <f>E50/E36</f>
        <v>1.0138797134408887E-2</v>
      </c>
      <c r="G51" s="11">
        <f>G50/G36</f>
        <v>1.1622668717742923E-2</v>
      </c>
      <c r="I51" s="11">
        <f>I50/I36</f>
        <v>1.6371031225116725E-2</v>
      </c>
      <c r="K51" s="11">
        <f>K50/K36</f>
        <v>0.28302322753080827</v>
      </c>
      <c r="L51" s="49"/>
      <c r="M51" s="49"/>
      <c r="N51" s="49"/>
      <c r="O51" s="49"/>
      <c r="P51" s="41"/>
      <c r="Q51" s="12">
        <f>Q50/Q36</f>
        <v>0.37485653151804543</v>
      </c>
    </row>
    <row r="52" spans="1:17" s="10" customFormat="1" x14ac:dyDescent="0.3">
      <c r="A52"/>
      <c r="B52" s="9"/>
      <c r="C52" s="12"/>
      <c r="E52" s="11"/>
      <c r="G52" s="11"/>
      <c r="L52" s="49"/>
      <c r="M52" s="49"/>
      <c r="N52" s="49"/>
      <c r="O52" s="49"/>
    </row>
    <row r="53" spans="1:17" s="10" customFormat="1" x14ac:dyDescent="0.3">
      <c r="A53" t="s">
        <v>89</v>
      </c>
      <c r="B53" s="9">
        <f>MEDIAN(B50:K50)</f>
        <v>0.93038505324859355</v>
      </c>
      <c r="C53" s="12"/>
      <c r="E53" s="11"/>
      <c r="G53" s="11"/>
      <c r="L53" s="49"/>
      <c r="M53" s="49"/>
      <c r="N53" s="49"/>
      <c r="O53" s="49"/>
    </row>
    <row r="54" spans="1:17" s="10" customFormat="1" x14ac:dyDescent="0.3">
      <c r="A54" t="s">
        <v>81</v>
      </c>
      <c r="B54" s="9">
        <f>AVERAGE(B50:K50)</f>
        <v>0.90138874971459759</v>
      </c>
      <c r="C54" s="12"/>
      <c r="E54" s="11"/>
      <c r="G54" s="11"/>
      <c r="L54" s="49"/>
      <c r="M54" s="49"/>
      <c r="N54" s="49"/>
      <c r="O54" s="49"/>
    </row>
    <row r="55" spans="1:17" s="10" customFormat="1" x14ac:dyDescent="0.3">
      <c r="A55" t="s">
        <v>82</v>
      </c>
      <c r="B55" s="9">
        <f>STDEV(B50:K50)</f>
        <v>0.28927128808460395</v>
      </c>
      <c r="C55" s="12"/>
      <c r="E55" s="11"/>
      <c r="G55" s="11"/>
      <c r="L55" s="49"/>
      <c r="M55" s="49"/>
      <c r="N55" s="49"/>
      <c r="O55" s="49"/>
    </row>
    <row r="56" spans="1:17" s="10" customFormat="1" x14ac:dyDescent="0.3">
      <c r="A56" t="s">
        <v>83</v>
      </c>
      <c r="B56" s="9">
        <f>COUNT(B50:K50)</f>
        <v>5</v>
      </c>
      <c r="C56" s="12"/>
      <c r="E56" s="11"/>
      <c r="G56" s="11"/>
      <c r="L56" s="49"/>
      <c r="M56" s="49"/>
      <c r="N56" s="49"/>
      <c r="O56" s="49"/>
    </row>
    <row r="57" spans="1:17" s="10" customFormat="1" x14ac:dyDescent="0.3">
      <c r="A57"/>
      <c r="B57" s="9"/>
      <c r="C57" s="9"/>
      <c r="L57" s="49"/>
      <c r="M57" s="49"/>
      <c r="N57" s="49"/>
      <c r="O57" s="49"/>
    </row>
    <row r="58" spans="1:17" s="10" customFormat="1" x14ac:dyDescent="0.3">
      <c r="B58" s="7"/>
      <c r="C58" s="7"/>
      <c r="D58" s="7"/>
      <c r="E58" s="7"/>
      <c r="L58" s="49"/>
      <c r="M58" s="49"/>
      <c r="N58" s="49"/>
      <c r="O58" s="49"/>
    </row>
    <row r="59" spans="1:17" x14ac:dyDescent="0.3">
      <c r="A59" s="7" t="s">
        <v>27</v>
      </c>
    </row>
    <row r="60" spans="1:17" x14ac:dyDescent="0.3">
      <c r="A60" t="s">
        <v>21</v>
      </c>
    </row>
    <row r="61" spans="1:17" x14ac:dyDescent="0.3">
      <c r="A61" t="s">
        <v>24</v>
      </c>
    </row>
    <row r="62" spans="1:17" x14ac:dyDescent="0.3">
      <c r="A62" t="s">
        <v>24</v>
      </c>
    </row>
    <row r="63" spans="1:17" x14ac:dyDescent="0.3">
      <c r="A63" t="s">
        <v>24</v>
      </c>
    </row>
  </sheetData>
  <mergeCells count="11">
    <mergeCell ref="J10:K10"/>
    <mergeCell ref="H10:I10"/>
    <mergeCell ref="P10:Q10"/>
    <mergeCell ref="L10:M10"/>
    <mergeCell ref="N10:O10"/>
    <mergeCell ref="B34:C34"/>
    <mergeCell ref="B10:C10"/>
    <mergeCell ref="D10:E10"/>
    <mergeCell ref="F10:G10"/>
    <mergeCell ref="B19:C19"/>
    <mergeCell ref="D19:E19"/>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pane xSplit="1" ySplit="2" topLeftCell="B30" activePane="bottomRight" state="frozenSplit"/>
      <selection pane="topRight"/>
      <selection pane="bottomLeft" activeCell="A3" sqref="A3"/>
      <selection pane="bottomRight" activeCell="D33" sqref="D33"/>
    </sheetView>
  </sheetViews>
  <sheetFormatPr defaultRowHeight="14.4" x14ac:dyDescent="0.3"/>
  <cols>
    <col min="1" max="1" width="25.5546875" customWidth="1"/>
    <col min="2" max="3" width="11.6640625" customWidth="1"/>
  </cols>
  <sheetData>
    <row r="1" spans="1:3" s="19" customFormat="1" x14ac:dyDescent="0.3">
      <c r="A1" s="20" t="s">
        <v>39</v>
      </c>
      <c r="B1" s="20"/>
      <c r="C1" s="20"/>
    </row>
    <row r="2" spans="1:3" s="13" customFormat="1" x14ac:dyDescent="0.3">
      <c r="B2" s="27"/>
      <c r="C2" s="27" t="s">
        <v>31</v>
      </c>
    </row>
    <row r="3" spans="1:3" s="13" customFormat="1" x14ac:dyDescent="0.3">
      <c r="B3" s="27" t="s">
        <v>61</v>
      </c>
      <c r="C3" s="27" t="s">
        <v>60</v>
      </c>
    </row>
    <row r="4" spans="1:3" x14ac:dyDescent="0.3">
      <c r="A4" t="s">
        <v>1</v>
      </c>
      <c r="B4">
        <v>508</v>
      </c>
      <c r="C4">
        <v>626</v>
      </c>
    </row>
    <row r="5" spans="1:3" x14ac:dyDescent="0.3">
      <c r="A5" t="s">
        <v>2</v>
      </c>
      <c r="B5">
        <v>582</v>
      </c>
      <c r="C5">
        <v>595</v>
      </c>
    </row>
    <row r="6" spans="1:3" x14ac:dyDescent="0.3">
      <c r="A6" t="s">
        <v>4</v>
      </c>
      <c r="B6">
        <f>B5-B4</f>
        <v>74</v>
      </c>
      <c r="C6">
        <f>C5-C4</f>
        <v>-31</v>
      </c>
    </row>
    <row r="7" spans="1:3" x14ac:dyDescent="0.3">
      <c r="A7" t="s">
        <v>5</v>
      </c>
      <c r="B7">
        <f>B6^2</f>
        <v>5476</v>
      </c>
      <c r="C7">
        <f>C6^2</f>
        <v>961</v>
      </c>
    </row>
    <row r="8" spans="1:3" x14ac:dyDescent="0.3">
      <c r="A8" t="s">
        <v>6</v>
      </c>
      <c r="C8">
        <f>SQRT(SUM(B7:C7))</f>
        <v>80.230916734136841</v>
      </c>
    </row>
    <row r="9" spans="1:3" x14ac:dyDescent="0.3">
      <c r="A9" t="s">
        <v>7</v>
      </c>
      <c r="C9">
        <f>MOD(ATAN2(C6,B6)*180/PI()+270,360)</f>
        <v>22.729732079944711</v>
      </c>
    </row>
    <row r="10" spans="1:3" s="17" customFormat="1" ht="117" customHeight="1" x14ac:dyDescent="0.3">
      <c r="A10" s="16" t="s">
        <v>40</v>
      </c>
      <c r="B10" s="397" t="s">
        <v>273</v>
      </c>
      <c r="C10" s="397"/>
    </row>
    <row r="11" spans="1:3" s="19" customFormat="1" x14ac:dyDescent="0.3">
      <c r="A11" s="20" t="s">
        <v>37</v>
      </c>
      <c r="B11" s="20"/>
      <c r="C11" s="20"/>
    </row>
    <row r="12" spans="1:3" s="1" customFormat="1" x14ac:dyDescent="0.3">
      <c r="B12" s="1" t="s">
        <v>62</v>
      </c>
      <c r="C12" s="1" t="s">
        <v>63</v>
      </c>
    </row>
    <row r="13" spans="1:3" x14ac:dyDescent="0.3">
      <c r="A13" t="s">
        <v>18</v>
      </c>
    </row>
    <row r="14" spans="1:3" x14ac:dyDescent="0.3">
      <c r="A14" t="s">
        <v>17</v>
      </c>
    </row>
    <row r="15" spans="1:3" x14ac:dyDescent="0.3">
      <c r="A15" t="s">
        <v>14</v>
      </c>
    </row>
    <row r="16" spans="1:3" x14ac:dyDescent="0.3">
      <c r="A16" t="s">
        <v>13</v>
      </c>
      <c r="C16">
        <v>9.5</v>
      </c>
    </row>
    <row r="17" spans="1:3" x14ac:dyDescent="0.3">
      <c r="A17" t="s">
        <v>7</v>
      </c>
      <c r="C17">
        <v>204</v>
      </c>
    </row>
    <row r="18" spans="1:3" x14ac:dyDescent="0.3">
      <c r="A18" t="s">
        <v>32</v>
      </c>
      <c r="B18" s="9">
        <f>-C16*SIN((C17)/180*PI())</f>
        <v>3.8639981092200983</v>
      </c>
      <c r="C18" s="9">
        <f>C16*COS((C17)/180*PI())</f>
        <v>-8.678681847604711</v>
      </c>
    </row>
    <row r="19" spans="1:3" s="14" customFormat="1" ht="69" customHeight="1" x14ac:dyDescent="0.3">
      <c r="A19" s="15" t="s">
        <v>40</v>
      </c>
      <c r="B19" s="389"/>
      <c r="C19" s="389"/>
    </row>
    <row r="20" spans="1:3" s="19" customFormat="1" x14ac:dyDescent="0.3">
      <c r="A20" s="18" t="s">
        <v>38</v>
      </c>
    </row>
    <row r="21" spans="1:3" x14ac:dyDescent="0.3">
      <c r="A21" s="7" t="s">
        <v>65</v>
      </c>
      <c r="C21">
        <v>0.115</v>
      </c>
    </row>
    <row r="22" spans="1:3" x14ac:dyDescent="0.3">
      <c r="A22" t="s">
        <v>34</v>
      </c>
      <c r="B22" t="e">
        <f>STDEV(B21:C21)</f>
        <v>#DIV/0!</v>
      </c>
      <c r="C22">
        <f>AVERAGE(B21:C21)</f>
        <v>0.115</v>
      </c>
    </row>
    <row r="23" spans="1:3" x14ac:dyDescent="0.3">
      <c r="A23" t="s">
        <v>35</v>
      </c>
      <c r="C23">
        <f>C21-$C22</f>
        <v>0</v>
      </c>
    </row>
    <row r="24" spans="1:3" x14ac:dyDescent="0.3">
      <c r="A24" s="7" t="s">
        <v>64</v>
      </c>
      <c r="C24" s="29">
        <f>MOD(C9-C17,360)</f>
        <v>178.72973207994471</v>
      </c>
    </row>
    <row r="25" spans="1:3" x14ac:dyDescent="0.3">
      <c r="A25" t="s">
        <v>36</v>
      </c>
      <c r="B25" t="e">
        <f>STDEV(B24:C24)</f>
        <v>#DIV/0!</v>
      </c>
      <c r="C25">
        <f>AVERAGE(B24:C24)</f>
        <v>178.72973207994471</v>
      </c>
    </row>
    <row r="26" spans="1:3" x14ac:dyDescent="0.3">
      <c r="A26" t="s">
        <v>35</v>
      </c>
      <c r="C26">
        <f>C24-$C25</f>
        <v>0</v>
      </c>
    </row>
    <row r="27" spans="1:3" x14ac:dyDescent="0.3">
      <c r="A27" t="s">
        <v>67</v>
      </c>
      <c r="C27">
        <f>SQRT(C16)</f>
        <v>3.082207001484488</v>
      </c>
    </row>
    <row r="28" spans="1:3" x14ac:dyDescent="0.3">
      <c r="A28" t="s">
        <v>68</v>
      </c>
      <c r="C28">
        <f>C27*C21</f>
        <v>0.35445380517071612</v>
      </c>
    </row>
    <row r="29" spans="1:3" x14ac:dyDescent="0.3">
      <c r="A29" t="s">
        <v>69</v>
      </c>
      <c r="C29" s="7">
        <f>SUM(B28:C28)/SUM(B27:C27)</f>
        <v>0.115</v>
      </c>
    </row>
    <row r="30" spans="1:3" x14ac:dyDescent="0.3">
      <c r="A30" t="s">
        <v>72</v>
      </c>
      <c r="C30" s="7">
        <f>C21-$C$29</f>
        <v>0</v>
      </c>
    </row>
    <row r="31" spans="1:3" x14ac:dyDescent="0.3">
      <c r="A31" t="s">
        <v>70</v>
      </c>
      <c r="C31">
        <f>C27*C24</f>
        <v>550.88203159025227</v>
      </c>
    </row>
    <row r="32" spans="1:3" x14ac:dyDescent="0.3">
      <c r="A32" t="s">
        <v>71</v>
      </c>
      <c r="C32" s="7">
        <f>SUM(B31:C31)/SUM(B27:C27)</f>
        <v>178.72973207994471</v>
      </c>
    </row>
    <row r="33" spans="1:3" x14ac:dyDescent="0.3">
      <c r="A33" t="s">
        <v>73</v>
      </c>
      <c r="C33" s="7">
        <f>C24-$C$32</f>
        <v>0</v>
      </c>
    </row>
    <row r="34" spans="1:3" s="14" customFormat="1" ht="75.75" customHeight="1" x14ac:dyDescent="0.3">
      <c r="A34" s="15" t="s">
        <v>40</v>
      </c>
      <c r="B34" s="396" t="s">
        <v>274</v>
      </c>
      <c r="C34" s="396"/>
    </row>
    <row r="35" spans="1:3" s="19" customFormat="1" x14ac:dyDescent="0.3">
      <c r="A35" s="20" t="s">
        <v>54</v>
      </c>
      <c r="B35" s="20"/>
      <c r="C35" s="20"/>
    </row>
    <row r="36" spans="1:3" x14ac:dyDescent="0.3">
      <c r="A36" s="7" t="s">
        <v>42</v>
      </c>
      <c r="C36" s="4">
        <f>C8*$C29</f>
        <v>9.2265554244257366</v>
      </c>
    </row>
    <row r="37" spans="1:3" x14ac:dyDescent="0.3">
      <c r="A37" t="s">
        <v>50</v>
      </c>
      <c r="C37" s="4">
        <f>C36-C16</f>
        <v>-0.27344457557426338</v>
      </c>
    </row>
    <row r="38" spans="1:3" x14ac:dyDescent="0.3">
      <c r="A38" t="s">
        <v>51</v>
      </c>
      <c r="C38" s="23">
        <f>C37/C16</f>
        <v>-2.8783639534132988E-2</v>
      </c>
    </row>
    <row r="39" spans="1:3" x14ac:dyDescent="0.3">
      <c r="A39" t="s">
        <v>53</v>
      </c>
      <c r="B39">
        <f>AVERAGE(B37:C37)</f>
        <v>-0.27344457557426338</v>
      </c>
      <c r="C39" s="23">
        <f>AVERAGE(C38:C38)</f>
        <v>-2.8783639534132988E-2</v>
      </c>
    </row>
    <row r="40" spans="1:3" x14ac:dyDescent="0.3">
      <c r="A40" t="s">
        <v>52</v>
      </c>
      <c r="B40" t="e">
        <f>STDEV(B37:C37)</f>
        <v>#DIV/0!</v>
      </c>
      <c r="C40" s="23" t="e">
        <f>STDEV(C38:C38)</f>
        <v>#DIV/0!</v>
      </c>
    </row>
    <row r="41" spans="1:3" x14ac:dyDescent="0.3">
      <c r="C41" s="23"/>
    </row>
    <row r="42" spans="1:3" x14ac:dyDescent="0.3">
      <c r="A42" s="7" t="s">
        <v>43</v>
      </c>
      <c r="C42" s="4">
        <f>MOD(C9-$C32,360)</f>
        <v>204</v>
      </c>
    </row>
    <row r="43" spans="1:3" x14ac:dyDescent="0.3">
      <c r="A43" t="s">
        <v>55</v>
      </c>
      <c r="C43" s="4">
        <f>C42-C17</f>
        <v>0</v>
      </c>
    </row>
    <row r="44" spans="1:3" x14ac:dyDescent="0.3">
      <c r="A44" t="s">
        <v>56</v>
      </c>
      <c r="B44">
        <f>AVERAGE(B43:C43)</f>
        <v>0</v>
      </c>
      <c r="C44" s="4"/>
    </row>
    <row r="45" spans="1:3" x14ac:dyDescent="0.3">
      <c r="A45" t="s">
        <v>57</v>
      </c>
      <c r="B45" t="e">
        <f>STDEV(B43:C43)</f>
        <v>#DIV/0!</v>
      </c>
      <c r="C45" s="4"/>
    </row>
    <row r="46" spans="1:3" x14ac:dyDescent="0.3">
      <c r="C46" s="4"/>
    </row>
    <row r="47" spans="1:3" x14ac:dyDescent="0.3">
      <c r="A47" t="s">
        <v>44</v>
      </c>
      <c r="B47" s="9">
        <f>-C36*SIN((C42)/180*PI())</f>
        <v>3.7527781804837357</v>
      </c>
      <c r="C47" s="9">
        <f>C36*COS((C42)/180*PI())</f>
        <v>-8.4288777976718325</v>
      </c>
    </row>
    <row r="48" spans="1:3" s="10" customFormat="1" x14ac:dyDescent="0.3">
      <c r="A48" t="s">
        <v>45</v>
      </c>
      <c r="B48" s="9">
        <f>B47-B18</f>
        <v>-0.11121992873636266</v>
      </c>
      <c r="C48" s="9">
        <f>C47-C18</f>
        <v>0.24980404993287841</v>
      </c>
    </row>
    <row r="49" spans="1:3" x14ac:dyDescent="0.3">
      <c r="A49" t="s">
        <v>46</v>
      </c>
      <c r="B49">
        <f>B48^2</f>
        <v>1.2369872548121589E-2</v>
      </c>
      <c r="C49">
        <f>C48^2</f>
        <v>6.2402063362868014E-2</v>
      </c>
    </row>
    <row r="50" spans="1:3" s="10" customFormat="1" x14ac:dyDescent="0.3">
      <c r="A50" t="s">
        <v>47</v>
      </c>
      <c r="B50" s="9"/>
      <c r="C50" s="9">
        <f>SQRT(B49+C49)</f>
        <v>0.27344457557426444</v>
      </c>
    </row>
    <row r="51" spans="1:3" s="10" customFormat="1" x14ac:dyDescent="0.3">
      <c r="A51" t="s">
        <v>48</v>
      </c>
      <c r="B51" s="9"/>
      <c r="C51" s="11">
        <f>C50/C36</f>
        <v>2.9636691375674873E-2</v>
      </c>
    </row>
    <row r="52" spans="1:3" s="10" customFormat="1" x14ac:dyDescent="0.3">
      <c r="A52"/>
      <c r="B52" s="9"/>
      <c r="C52" s="12"/>
    </row>
    <row r="53" spans="1:3" s="10" customFormat="1" x14ac:dyDescent="0.3">
      <c r="A53" t="s">
        <v>89</v>
      </c>
      <c r="B53" s="9">
        <f>MEDIAN(B50:C50)</f>
        <v>0.27344457557426444</v>
      </c>
      <c r="C53" s="12"/>
    </row>
    <row r="54" spans="1:3" s="10" customFormat="1" x14ac:dyDescent="0.3">
      <c r="A54" t="s">
        <v>81</v>
      </c>
      <c r="B54" s="9">
        <f>AVERAGE(B50:C50)</f>
        <v>0.27344457557426444</v>
      </c>
      <c r="C54" s="12"/>
    </row>
    <row r="55" spans="1:3" s="10" customFormat="1" x14ac:dyDescent="0.3">
      <c r="A55" t="s">
        <v>82</v>
      </c>
      <c r="B55" s="9" t="e">
        <f>STDEV(B50:C50)</f>
        <v>#DIV/0!</v>
      </c>
      <c r="C55" s="12"/>
    </row>
    <row r="56" spans="1:3" s="10" customFormat="1" x14ac:dyDescent="0.3">
      <c r="A56" t="s">
        <v>83</v>
      </c>
      <c r="B56" s="9">
        <f>COUNT(B50:C50)</f>
        <v>1</v>
      </c>
      <c r="C56" s="12"/>
    </row>
    <row r="57" spans="1:3" s="10" customFormat="1" x14ac:dyDescent="0.3">
      <c r="A57"/>
      <c r="B57" s="9"/>
      <c r="C57" s="9"/>
    </row>
    <row r="58" spans="1:3" s="10" customFormat="1" x14ac:dyDescent="0.3">
      <c r="B58" s="7"/>
      <c r="C58" s="7"/>
    </row>
    <row r="59" spans="1:3" x14ac:dyDescent="0.3">
      <c r="A59" s="7" t="s">
        <v>27</v>
      </c>
    </row>
    <row r="60" spans="1:3" x14ac:dyDescent="0.3">
      <c r="A60" t="s">
        <v>21</v>
      </c>
    </row>
    <row r="61" spans="1:3" x14ac:dyDescent="0.3">
      <c r="A61" t="s">
        <v>24</v>
      </c>
    </row>
    <row r="62" spans="1:3" x14ac:dyDescent="0.3">
      <c r="A62" t="s">
        <v>24</v>
      </c>
    </row>
    <row r="63" spans="1:3" x14ac:dyDescent="0.3">
      <c r="A63" t="s">
        <v>24</v>
      </c>
    </row>
  </sheetData>
  <mergeCells count="3">
    <mergeCell ref="B19:C19"/>
    <mergeCell ref="B34:C34"/>
    <mergeCell ref="B10:C10"/>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3"/>
  <sheetViews>
    <sheetView workbookViewId="0">
      <pane xSplit="1" ySplit="2" topLeftCell="E3" activePane="bottomRight" state="frozenSplit"/>
      <selection pane="topRight"/>
      <selection pane="bottomLeft" activeCell="A3" sqref="A3"/>
      <selection pane="bottomRight" activeCell="I21" sqref="I21"/>
    </sheetView>
  </sheetViews>
  <sheetFormatPr defaultRowHeight="14.4" x14ac:dyDescent="0.3"/>
  <cols>
    <col min="1" max="1" width="25.5546875" customWidth="1"/>
    <col min="2" max="5" width="11.6640625" customWidth="1"/>
    <col min="6" max="6" width="9.5546875" bestFit="1" customWidth="1"/>
    <col min="7" max="7" width="12" customWidth="1"/>
    <col min="9" max="9" width="11.109375" customWidth="1"/>
    <col min="11" max="11" width="9.5546875" customWidth="1"/>
  </cols>
  <sheetData>
    <row r="1" spans="1:25" s="19" customFormat="1" x14ac:dyDescent="0.3">
      <c r="A1" s="20" t="s">
        <v>39</v>
      </c>
      <c r="B1" s="20"/>
      <c r="C1" s="20"/>
      <c r="D1" s="20"/>
      <c r="E1" s="20"/>
      <c r="F1" s="20"/>
      <c r="G1" s="20"/>
      <c r="H1" s="20"/>
      <c r="I1" s="20"/>
      <c r="J1" s="20"/>
      <c r="K1" s="20"/>
      <c r="L1" s="20"/>
      <c r="M1" s="20"/>
      <c r="N1" s="20"/>
      <c r="O1" s="20"/>
      <c r="P1" s="20"/>
      <c r="Q1" s="20"/>
      <c r="R1" s="20"/>
      <c r="S1" s="20"/>
      <c r="T1" s="20"/>
      <c r="U1" s="20"/>
      <c r="V1" s="20"/>
      <c r="W1" s="20"/>
      <c r="X1" s="20"/>
      <c r="Y1" s="20"/>
    </row>
    <row r="2" spans="1:25" s="13" customFormat="1" x14ac:dyDescent="0.3">
      <c r="B2" s="27"/>
      <c r="C2" s="27" t="s">
        <v>31</v>
      </c>
      <c r="E2" s="13" t="s">
        <v>29</v>
      </c>
      <c r="G2" s="13" t="s">
        <v>9</v>
      </c>
      <c r="I2" s="13" t="s">
        <v>10</v>
      </c>
      <c r="K2" s="13" t="s">
        <v>11</v>
      </c>
      <c r="M2" s="13" t="s">
        <v>12</v>
      </c>
      <c r="N2" s="27"/>
      <c r="O2" s="27" t="s">
        <v>23</v>
      </c>
      <c r="P2" s="27"/>
      <c r="Q2" s="27" t="s">
        <v>66</v>
      </c>
      <c r="R2" s="27"/>
      <c r="S2" s="27" t="s">
        <v>28</v>
      </c>
      <c r="T2" s="27"/>
      <c r="U2" s="27" t="s">
        <v>33</v>
      </c>
      <c r="W2" s="27" t="s">
        <v>20</v>
      </c>
      <c r="X2" s="392"/>
      <c r="Y2" s="392"/>
    </row>
    <row r="3" spans="1:25" s="13" customFormat="1" x14ac:dyDescent="0.3">
      <c r="B3" s="27" t="s">
        <v>61</v>
      </c>
      <c r="C3" s="27" t="s">
        <v>60</v>
      </c>
      <c r="N3" s="27"/>
      <c r="O3" s="27"/>
      <c r="P3" s="27"/>
      <c r="Q3" s="27"/>
      <c r="R3" s="27"/>
      <c r="S3" s="27"/>
      <c r="T3" s="27"/>
      <c r="U3" s="27"/>
      <c r="W3" s="27"/>
    </row>
    <row r="4" spans="1:25" x14ac:dyDescent="0.3">
      <c r="A4" t="s">
        <v>1</v>
      </c>
      <c r="B4">
        <v>622</v>
      </c>
      <c r="C4">
        <f>959-521</f>
        <v>438</v>
      </c>
      <c r="D4">
        <v>575</v>
      </c>
      <c r="E4">
        <f>959-708</f>
        <v>251</v>
      </c>
      <c r="F4">
        <v>902</v>
      </c>
      <c r="G4">
        <v>556</v>
      </c>
      <c r="H4">
        <v>902</v>
      </c>
      <c r="I4">
        <v>556</v>
      </c>
      <c r="J4">
        <v>844</v>
      </c>
      <c r="K4">
        <v>508</v>
      </c>
      <c r="L4">
        <v>846</v>
      </c>
      <c r="M4">
        <v>652</v>
      </c>
      <c r="N4">
        <v>112</v>
      </c>
      <c r="O4">
        <f>1012-217</f>
        <v>795</v>
      </c>
      <c r="P4">
        <v>529</v>
      </c>
      <c r="Q4">
        <f>1012-389</f>
        <v>623</v>
      </c>
      <c r="R4">
        <v>676</v>
      </c>
      <c r="S4">
        <f>959-424</f>
        <v>535</v>
      </c>
      <c r="T4">
        <v>602</v>
      </c>
      <c r="U4">
        <f>959-543</f>
        <v>416</v>
      </c>
      <c r="V4">
        <v>764</v>
      </c>
      <c r="W4">
        <v>424</v>
      </c>
    </row>
    <row r="5" spans="1:25" x14ac:dyDescent="0.3">
      <c r="A5" t="s">
        <v>2</v>
      </c>
      <c r="B5">
        <v>565</v>
      </c>
      <c r="C5">
        <f>959-576</f>
        <v>383</v>
      </c>
      <c r="D5">
        <v>722</v>
      </c>
      <c r="E5">
        <f>959-286</f>
        <v>673</v>
      </c>
      <c r="F5">
        <v>844</v>
      </c>
      <c r="G5">
        <v>508</v>
      </c>
      <c r="H5">
        <v>846</v>
      </c>
      <c r="I5">
        <v>652</v>
      </c>
      <c r="J5">
        <v>734</v>
      </c>
      <c r="K5">
        <v>636</v>
      </c>
      <c r="L5">
        <v>734</v>
      </c>
      <c r="M5">
        <v>636</v>
      </c>
      <c r="N5">
        <v>529</v>
      </c>
      <c r="O5">
        <f>1012-389</f>
        <v>623</v>
      </c>
      <c r="P5">
        <v>1094</v>
      </c>
      <c r="Q5">
        <f>1012-730</f>
        <v>282</v>
      </c>
      <c r="R5">
        <v>665</v>
      </c>
      <c r="S5">
        <f>959-421</f>
        <v>538</v>
      </c>
      <c r="T5" s="2">
        <v>604</v>
      </c>
      <c r="U5">
        <f>959-562</f>
        <v>397</v>
      </c>
      <c r="V5">
        <v>804</v>
      </c>
      <c r="W5">
        <v>431</v>
      </c>
    </row>
    <row r="6" spans="1:25" x14ac:dyDescent="0.3">
      <c r="A6" t="s">
        <v>4</v>
      </c>
      <c r="B6">
        <f>B5-B4</f>
        <v>-57</v>
      </c>
      <c r="C6">
        <f t="shared" ref="C6:M6" si="0">C5-C4</f>
        <v>-55</v>
      </c>
      <c r="D6">
        <f t="shared" si="0"/>
        <v>147</v>
      </c>
      <c r="E6">
        <f t="shared" si="0"/>
        <v>422</v>
      </c>
      <c r="F6">
        <f t="shared" si="0"/>
        <v>-58</v>
      </c>
      <c r="G6">
        <f t="shared" si="0"/>
        <v>-48</v>
      </c>
      <c r="H6">
        <f t="shared" si="0"/>
        <v>-56</v>
      </c>
      <c r="I6">
        <f t="shared" si="0"/>
        <v>96</v>
      </c>
      <c r="J6">
        <f t="shared" si="0"/>
        <v>-110</v>
      </c>
      <c r="K6">
        <f t="shared" si="0"/>
        <v>128</v>
      </c>
      <c r="L6">
        <f t="shared" si="0"/>
        <v>-112</v>
      </c>
      <c r="M6">
        <f t="shared" si="0"/>
        <v>-16</v>
      </c>
      <c r="N6">
        <f t="shared" ref="N6:W6" si="1">N5-N4</f>
        <v>417</v>
      </c>
      <c r="O6">
        <f t="shared" si="1"/>
        <v>-172</v>
      </c>
      <c r="P6">
        <f>P5-P4</f>
        <v>565</v>
      </c>
      <c r="Q6">
        <f>Q5-Q4</f>
        <v>-341</v>
      </c>
      <c r="R6">
        <f t="shared" si="1"/>
        <v>-11</v>
      </c>
      <c r="S6">
        <f t="shared" si="1"/>
        <v>3</v>
      </c>
      <c r="T6">
        <f t="shared" si="1"/>
        <v>2</v>
      </c>
      <c r="U6">
        <f t="shared" si="1"/>
        <v>-19</v>
      </c>
      <c r="V6">
        <f t="shared" si="1"/>
        <v>40</v>
      </c>
      <c r="W6">
        <f t="shared" si="1"/>
        <v>7</v>
      </c>
    </row>
    <row r="7" spans="1:25" x14ac:dyDescent="0.3">
      <c r="A7" t="s">
        <v>5</v>
      </c>
      <c r="B7">
        <f>B6^2</f>
        <v>3249</v>
      </c>
      <c r="C7">
        <f>C6^2</f>
        <v>3025</v>
      </c>
      <c r="D7">
        <f>D6^2</f>
        <v>21609</v>
      </c>
      <c r="E7">
        <f>E6^2</f>
        <v>178084</v>
      </c>
      <c r="F7">
        <f t="shared" ref="F7:M7" si="2">F6^2</f>
        <v>3364</v>
      </c>
      <c r="G7">
        <f t="shared" si="2"/>
        <v>2304</v>
      </c>
      <c r="H7">
        <f t="shared" si="2"/>
        <v>3136</v>
      </c>
      <c r="I7">
        <f t="shared" si="2"/>
        <v>9216</v>
      </c>
      <c r="J7">
        <f t="shared" si="2"/>
        <v>12100</v>
      </c>
      <c r="K7">
        <f t="shared" si="2"/>
        <v>16384</v>
      </c>
      <c r="L7">
        <f t="shared" si="2"/>
        <v>12544</v>
      </c>
      <c r="M7">
        <f t="shared" si="2"/>
        <v>256</v>
      </c>
      <c r="N7">
        <f t="shared" ref="N7:W7" si="3">N6^2</f>
        <v>173889</v>
      </c>
      <c r="O7">
        <f t="shared" si="3"/>
        <v>29584</v>
      </c>
      <c r="P7">
        <f>P6^2</f>
        <v>319225</v>
      </c>
      <c r="Q7">
        <f>Q6^2</f>
        <v>116281</v>
      </c>
      <c r="R7">
        <f t="shared" si="3"/>
        <v>121</v>
      </c>
      <c r="S7">
        <f t="shared" si="3"/>
        <v>9</v>
      </c>
      <c r="T7">
        <f t="shared" si="3"/>
        <v>4</v>
      </c>
      <c r="U7">
        <f t="shared" si="3"/>
        <v>361</v>
      </c>
      <c r="V7">
        <f t="shared" si="3"/>
        <v>1600</v>
      </c>
      <c r="W7">
        <f t="shared" si="3"/>
        <v>49</v>
      </c>
    </row>
    <row r="8" spans="1:25" x14ac:dyDescent="0.3">
      <c r="A8" t="s">
        <v>6</v>
      </c>
      <c r="C8">
        <f>SQRT(SUM(B7:C7))</f>
        <v>79.208585393251411</v>
      </c>
      <c r="E8">
        <f>SQRT(SUM(D7:E7))</f>
        <v>446.87022724724011</v>
      </c>
      <c r="G8">
        <f>SQRT(SUM(F7:G7))</f>
        <v>75.286120898874842</v>
      </c>
      <c r="I8">
        <f>SQRT(SUM(H7:I7))</f>
        <v>111.13955191559843</v>
      </c>
      <c r="K8">
        <f>SQRT(SUM(J7:K7))</f>
        <v>168.77203559831824</v>
      </c>
      <c r="M8">
        <f>SQRT(SUM(L7:M7))</f>
        <v>113.13708498984761</v>
      </c>
      <c r="O8">
        <f>SQRT(SUM(N7:O7))</f>
        <v>451.07981555374431</v>
      </c>
      <c r="Q8">
        <f>SQRT(SUM(P7:Q7))</f>
        <v>659.92878403658074</v>
      </c>
      <c r="S8">
        <f>SQRT(SUM(R7:S7))</f>
        <v>11.401754250991379</v>
      </c>
      <c r="U8">
        <f>SQRT(SUM(T7:U7))</f>
        <v>19.104973174542799</v>
      </c>
      <c r="W8">
        <f>SQRT(SUM(V7:W7))</f>
        <v>40.607881008493905</v>
      </c>
    </row>
    <row r="9" spans="1:25" x14ac:dyDescent="0.3">
      <c r="A9" t="s">
        <v>7</v>
      </c>
      <c r="C9">
        <f>MOD(ATAN2(C6,B6)*180/PI()+90,360)</f>
        <v>316.0230301886678</v>
      </c>
      <c r="E9">
        <f>MOD(ATAN2(E6,D6)*180/PI()+90,360)</f>
        <v>109.20533396565682</v>
      </c>
      <c r="G9">
        <f>MOD(ATAN2(G6,F6)*180/PI()+270,360)</f>
        <v>140.38931175997342</v>
      </c>
      <c r="I9">
        <f>MOD(ATAN2(I6,H6)*180/PI()+270,360)</f>
        <v>239.74356283647074</v>
      </c>
      <c r="K9">
        <f>MOD(ATAN2(K6,J6)*180/PI()+270,360)</f>
        <v>229.32506043473845</v>
      </c>
      <c r="M9">
        <f>MOD(ATAN2(M6,L6)*180/PI()+270,360)</f>
        <v>171.86989764584402</v>
      </c>
      <c r="O9">
        <f>MOD(ATAN2(O6,N6)*180/PI()+90,360)</f>
        <v>202.41467971165483</v>
      </c>
      <c r="Q9">
        <f>MOD(ATAN2(Q6,P6)*180/PI()+90,360)</f>
        <v>211.11265375278811</v>
      </c>
      <c r="S9">
        <f>MOD(ATAN2(S6,R6)*180/PI()+270,360)</f>
        <v>195.25511870305778</v>
      </c>
      <c r="U9">
        <f>MOD(ATAN2(U6,T6)*180/PI()+90,360)</f>
        <v>263.99099404250546</v>
      </c>
      <c r="W9">
        <f>MOD(ATAN2(W6,V6)*180/PI()+90,360)</f>
        <v>170.0737544933483</v>
      </c>
    </row>
    <row r="10" spans="1:25" s="17" customFormat="1" ht="117" customHeight="1" x14ac:dyDescent="0.3">
      <c r="A10" s="16" t="s">
        <v>40</v>
      </c>
      <c r="B10" s="393" t="s">
        <v>103</v>
      </c>
      <c r="C10" s="393"/>
      <c r="D10" s="393" t="s">
        <v>58</v>
      </c>
      <c r="E10" s="393"/>
      <c r="F10" s="393" t="s">
        <v>58</v>
      </c>
      <c r="G10" s="393"/>
      <c r="H10" s="393" t="s">
        <v>58</v>
      </c>
      <c r="I10" s="393"/>
      <c r="J10" s="393" t="s">
        <v>58</v>
      </c>
      <c r="K10" s="393"/>
      <c r="L10" s="393" t="s">
        <v>58</v>
      </c>
      <c r="M10" s="393"/>
      <c r="N10" s="393" t="s">
        <v>58</v>
      </c>
      <c r="O10" s="393"/>
      <c r="P10" s="393" t="s">
        <v>58</v>
      </c>
      <c r="Q10" s="393"/>
      <c r="R10" s="393" t="s">
        <v>58</v>
      </c>
      <c r="S10" s="393"/>
      <c r="T10" s="393" t="s">
        <v>59</v>
      </c>
      <c r="U10" s="393"/>
      <c r="V10" s="393" t="s">
        <v>58</v>
      </c>
      <c r="W10" s="393"/>
    </row>
    <row r="11" spans="1:25" s="19" customFormat="1" x14ac:dyDescent="0.3">
      <c r="A11" s="20" t="s">
        <v>37</v>
      </c>
      <c r="B11" s="20"/>
      <c r="C11" s="20"/>
      <c r="D11" s="20"/>
      <c r="E11" s="20"/>
      <c r="F11" s="20"/>
      <c r="G11" s="20"/>
      <c r="H11" s="20"/>
      <c r="I11" s="20"/>
    </row>
    <row r="12" spans="1:25" s="1" customFormat="1" x14ac:dyDescent="0.3">
      <c r="B12" s="1" t="s">
        <v>62</v>
      </c>
      <c r="C12" s="1" t="s">
        <v>63</v>
      </c>
      <c r="F12" s="6" t="s">
        <v>15</v>
      </c>
      <c r="G12" s="1" t="s">
        <v>16</v>
      </c>
      <c r="H12" s="6" t="s">
        <v>15</v>
      </c>
      <c r="I12" s="1" t="s">
        <v>16</v>
      </c>
    </row>
    <row r="13" spans="1:25" x14ac:dyDescent="0.3">
      <c r="A13" t="s">
        <v>18</v>
      </c>
      <c r="F13" s="5">
        <f>(5/12+35/1440+15.83/86400)*1296000</f>
        <v>571737.45000000007</v>
      </c>
      <c r="G13" s="2">
        <f>-(5*360+23*60+14.4)</f>
        <v>-3194.4</v>
      </c>
      <c r="H13" s="5">
        <f>(5/12+35/1440+15.83/86400)*1296000</f>
        <v>571737.45000000007</v>
      </c>
      <c r="I13" s="2">
        <f>-(5*360+23*60+14.4)</f>
        <v>-3194.4</v>
      </c>
      <c r="J13" s="5">
        <f>(5/12+35/1440+16.11/86400)*1296000</f>
        <v>571741.65</v>
      </c>
      <c r="K13" s="2">
        <f>-(5*360+23*60+6.9)</f>
        <v>-3186.9</v>
      </c>
      <c r="L13" s="5">
        <f>(5/12+35/1440+16.46/86400)*1296000</f>
        <v>571746.90000000014</v>
      </c>
      <c r="M13" s="2">
        <f>-(5*360+23*60+23.2)</f>
        <v>-3203.2</v>
      </c>
      <c r="N13" s="2"/>
      <c r="O13" s="2"/>
      <c r="P13" s="2"/>
      <c r="Q13" s="2"/>
      <c r="R13" s="2"/>
      <c r="S13" s="2"/>
      <c r="T13" s="2"/>
      <c r="U13" s="2"/>
    </row>
    <row r="14" spans="1:25" x14ac:dyDescent="0.3">
      <c r="A14" t="s">
        <v>17</v>
      </c>
      <c r="F14" s="5">
        <f>(5/12+35/1440+16.11/86400)*1296000</f>
        <v>571741.65</v>
      </c>
      <c r="G14" s="2">
        <f>-(5*360+23*60+6.9)</f>
        <v>-3186.9</v>
      </c>
      <c r="H14" s="5">
        <f>(5/12+35/1440+16.46/86400)*1296000</f>
        <v>571746.90000000014</v>
      </c>
      <c r="I14" s="2">
        <f>-(5*360+23*60+23.2)</f>
        <v>-3203.2</v>
      </c>
      <c r="J14" s="5">
        <f>(5/12+35/1440+17.2/86400)*1296000</f>
        <v>571758.00000000012</v>
      </c>
      <c r="K14" s="2">
        <f>-(5*360+23*60+15.7)</f>
        <v>-3195.7</v>
      </c>
      <c r="L14" s="5">
        <f>(5/12+35/1440+17.2/86400)*1296000</f>
        <v>571758.00000000012</v>
      </c>
      <c r="M14" s="2">
        <f>-(5*360+23*60+15.7)</f>
        <v>-3195.7</v>
      </c>
      <c r="N14" s="2"/>
      <c r="O14" s="2"/>
      <c r="P14" s="2"/>
      <c r="Q14" s="2"/>
      <c r="R14" s="2"/>
      <c r="S14" s="2"/>
      <c r="T14" s="2"/>
      <c r="U14" s="2"/>
    </row>
    <row r="15" spans="1:25" x14ac:dyDescent="0.3">
      <c r="A15" t="s">
        <v>14</v>
      </c>
      <c r="F15" s="5">
        <f>(F14-F13)*COS((5+23/60)*PI()/180)</f>
        <v>4.1814750493745336</v>
      </c>
      <c r="G15" s="5">
        <f>G14-G13</f>
        <v>7.5</v>
      </c>
      <c r="H15" s="5">
        <f>(H14-H13)*COS((5+23/60)*PI()/180)</f>
        <v>9.4083188612665527</v>
      </c>
      <c r="I15" s="5">
        <f>I14-I13</f>
        <v>-8.7999999999997272</v>
      </c>
      <c r="J15" s="5">
        <f>(J14-J13)*COS((5+23/60)*PI()/180)</f>
        <v>16.277885013909774</v>
      </c>
      <c r="K15" s="5">
        <f>K14-K13</f>
        <v>-8.7999999999997272</v>
      </c>
      <c r="L15" s="5">
        <f>(L14-L13)*COS((5+23/60)*PI()/180)</f>
        <v>11.051041202017755</v>
      </c>
      <c r="M15" s="5">
        <f>M14-M13</f>
        <v>7.5</v>
      </c>
      <c r="N15" s="5"/>
      <c r="O15" s="5"/>
      <c r="P15" s="5"/>
      <c r="Q15" s="5"/>
      <c r="R15" s="5"/>
      <c r="S15" s="5"/>
      <c r="T15" s="5"/>
      <c r="U15" s="5"/>
    </row>
    <row r="16" spans="1:25" x14ac:dyDescent="0.3">
      <c r="A16" t="s">
        <v>13</v>
      </c>
      <c r="C16">
        <v>9.5</v>
      </c>
      <c r="E16">
        <v>52.5</v>
      </c>
      <c r="F16" s="4">
        <f>SQRT(F15^2+G15^2)</f>
        <v>8.586893127816472</v>
      </c>
      <c r="G16" s="25">
        <v>8.6999999999999993</v>
      </c>
      <c r="H16" s="4">
        <f>SQRT(H15^2+I15^2)</f>
        <v>12.882409083523902</v>
      </c>
      <c r="I16" s="26">
        <v>12.9</v>
      </c>
      <c r="J16" s="4">
        <f>SQRT(J15^2+K15^2)</f>
        <v>18.504311403725985</v>
      </c>
      <c r="K16" s="26">
        <v>19.2</v>
      </c>
      <c r="L16" s="4">
        <f>SQRT(L15^2+M15^2)</f>
        <v>13.355729543858473</v>
      </c>
      <c r="M16" s="26">
        <v>13.3</v>
      </c>
      <c r="N16" s="8"/>
      <c r="O16" s="26">
        <v>52.4</v>
      </c>
      <c r="P16" s="8"/>
      <c r="Q16" s="26">
        <v>76.7</v>
      </c>
      <c r="R16" s="8"/>
      <c r="S16" s="8">
        <v>1.7</v>
      </c>
      <c r="T16" s="8"/>
      <c r="U16" s="247">
        <v>2.2360000000000002</v>
      </c>
      <c r="W16">
        <v>4.6749999999999998</v>
      </c>
    </row>
    <row r="17" spans="1:24" x14ac:dyDescent="0.3">
      <c r="A17" t="s">
        <v>7</v>
      </c>
      <c r="C17">
        <v>204</v>
      </c>
      <c r="E17">
        <v>359</v>
      </c>
      <c r="G17">
        <f>MOD(ATAN2(G15,F15)*180/PI(),360)</f>
        <v>29.140978280747419</v>
      </c>
      <c r="I17">
        <f>MOD(ATAN2(I15,H15)*180/PI(),360)</f>
        <v>133.08652600970979</v>
      </c>
      <c r="K17">
        <f>MOD(ATAN2(K15,J15)*180/PI(),360)</f>
        <v>118.39613345501539</v>
      </c>
      <c r="M17">
        <f>MOD(ATAN2(M15,L15)*180/PI(),360)</f>
        <v>55.836474509113721</v>
      </c>
      <c r="O17">
        <v>93</v>
      </c>
      <c r="Q17">
        <v>102</v>
      </c>
      <c r="S17">
        <v>78</v>
      </c>
      <c r="U17">
        <v>165.67</v>
      </c>
      <c r="W17">
        <v>61.21</v>
      </c>
    </row>
    <row r="18" spans="1:24" x14ac:dyDescent="0.3">
      <c r="A18" t="s">
        <v>32</v>
      </c>
      <c r="B18" s="9">
        <f>-C16*SIN((C17)/180*PI())</f>
        <v>3.8639981092200983</v>
      </c>
      <c r="C18" s="9">
        <f>C16*COS((C17)/180*PI())</f>
        <v>-8.678681847604711</v>
      </c>
      <c r="D18" s="9">
        <f>-E16*SIN((E17)/180*PI())</f>
        <v>0.91625133795738689</v>
      </c>
      <c r="E18" s="9">
        <f>E16*COS((E17)/180*PI())</f>
        <v>52.49200399571054</v>
      </c>
      <c r="F18" s="9">
        <f>-G16*SIN((G17)/180*PI())</f>
        <v>-4.2365535925575291</v>
      </c>
      <c r="G18" s="9">
        <f>G16*COS((G17)/180*PI())</f>
        <v>7.5987902759181267</v>
      </c>
      <c r="H18" s="9">
        <f>-I16*SIN((I17)/180*PI())</f>
        <v>-9.4211659110843371</v>
      </c>
      <c r="I18" s="9">
        <f>I16*COS((I17)/180*PI())</f>
        <v>-8.8120163910323299</v>
      </c>
      <c r="J18" s="9">
        <f>-K16*SIN((K17)/180*PI())</f>
        <v>-16.889868822902333</v>
      </c>
      <c r="K18" s="9">
        <f>K16*COS((K17)/180*PI())</f>
        <v>-9.1308450400360925</v>
      </c>
      <c r="L18" s="9">
        <f>-M16*SIN((M17)/180*PI())</f>
        <v>-11.00492844693933</v>
      </c>
      <c r="M18" s="9">
        <f>M16*COS((M17)/180*PI())</f>
        <v>7.4687046987911838</v>
      </c>
      <c r="N18" s="9">
        <f>-O16*SIN((O17)/180*PI())</f>
        <v>-52.328187621139669</v>
      </c>
      <c r="O18" s="9">
        <f>O16*COS((O17)/180*PI())</f>
        <v>-2.7424041071302572</v>
      </c>
      <c r="P18" s="9">
        <f>-Q16*SIN((Q17)/180*PI())</f>
        <v>-75.023920976282895</v>
      </c>
      <c r="Q18" s="9">
        <f>Q16*COS((Q17)/180*PI())</f>
        <v>-15.946826685722126</v>
      </c>
      <c r="R18" s="9">
        <f>-S16*SIN((S17)/180*PI())</f>
        <v>-1.6628509212474696</v>
      </c>
      <c r="S18" s="9">
        <f>S16*COS((S17)/180*PI())</f>
        <v>0.35344987439019071</v>
      </c>
      <c r="T18" s="9">
        <f>-U16*SIN((U17)/180*PI())</f>
        <v>-0.55342420819684535</v>
      </c>
      <c r="U18" s="9">
        <f>U16*COS((U17)/180*PI())</f>
        <v>-2.1664297001706969</v>
      </c>
      <c r="V18" s="9">
        <f>-W16*SIN((W17)/180*PI())</f>
        <v>-4.0971267495857369</v>
      </c>
      <c r="W18" s="9">
        <f>W16*COS((W17)/180*PI())</f>
        <v>2.2514833772046843</v>
      </c>
    </row>
    <row r="19" spans="1:24" s="14" customFormat="1" ht="69" customHeight="1" x14ac:dyDescent="0.3">
      <c r="A19" s="15" t="s">
        <v>40</v>
      </c>
      <c r="B19" s="389" t="s">
        <v>49</v>
      </c>
      <c r="C19" s="389"/>
      <c r="D19" s="390"/>
      <c r="E19" s="390"/>
      <c r="F19" s="21"/>
      <c r="G19" s="21"/>
      <c r="H19" s="21"/>
      <c r="I19" s="21"/>
      <c r="J19" s="21"/>
      <c r="K19" s="21"/>
      <c r="L19" s="21"/>
      <c r="M19" s="21"/>
      <c r="N19" s="21"/>
      <c r="O19" s="21"/>
      <c r="P19" s="21"/>
      <c r="Q19" s="21"/>
      <c r="R19" s="21"/>
      <c r="S19" s="21"/>
      <c r="T19" s="21"/>
      <c r="U19" s="21"/>
      <c r="V19" s="21"/>
      <c r="W19" s="21"/>
    </row>
    <row r="20" spans="1:24" s="19" customFormat="1" x14ac:dyDescent="0.3">
      <c r="A20" s="18" t="s">
        <v>38</v>
      </c>
    </row>
    <row r="21" spans="1:24" x14ac:dyDescent="0.3">
      <c r="A21" s="7" t="s">
        <v>65</v>
      </c>
      <c r="C21">
        <f>C16/C8</f>
        <v>0.11993649366207974</v>
      </c>
      <c r="E21">
        <f>E16/E8</f>
        <v>0.1174837722427932</v>
      </c>
      <c r="G21">
        <f>G16/G8</f>
        <v>0.11555914816870345</v>
      </c>
      <c r="I21">
        <f>I16/I8</f>
        <v>0.11607028980822701</v>
      </c>
      <c r="K21">
        <f>K16/K8</f>
        <v>0.11376292246481218</v>
      </c>
      <c r="M21">
        <f>M16/M8</f>
        <v>0.11755650237226353</v>
      </c>
      <c r="O21">
        <f>O16/O8</f>
        <v>0.11616569439196454</v>
      </c>
      <c r="Q21">
        <f>Q16/Q8</f>
        <v>0.11622466219892663</v>
      </c>
      <c r="S21">
        <f>S16/S8</f>
        <v>0.14909986328219496</v>
      </c>
      <c r="U21">
        <f>U16/U8</f>
        <v>0.1170375890911718</v>
      </c>
      <c r="W21">
        <f>W16/W8</f>
        <v>0.11512543584882293</v>
      </c>
      <c r="X21" t="s">
        <v>8</v>
      </c>
    </row>
    <row r="22" spans="1:24" x14ac:dyDescent="0.3">
      <c r="A22" t="s">
        <v>34</v>
      </c>
      <c r="B22">
        <f>STDEV(B21:W21)</f>
        <v>9.9569927488859164E-3</v>
      </c>
      <c r="C22">
        <f>AVERAGE(B21:W21)</f>
        <v>0.11945657941199637</v>
      </c>
      <c r="N22" s="28"/>
      <c r="O22" s="28"/>
      <c r="P22" s="28"/>
      <c r="Q22" s="28"/>
      <c r="R22" s="28"/>
      <c r="S22" s="28"/>
    </row>
    <row r="23" spans="1:24" x14ac:dyDescent="0.3">
      <c r="A23" t="s">
        <v>35</v>
      </c>
      <c r="C23">
        <f>C21-$C22</f>
        <v>4.7991425008336863E-4</v>
      </c>
      <c r="E23">
        <f>E21-$C22</f>
        <v>-1.9728071692031723E-3</v>
      </c>
      <c r="G23">
        <f>G21-$C22</f>
        <v>-3.8974312432929203E-3</v>
      </c>
      <c r="I23">
        <f>I21-$C22</f>
        <v>-3.3862896037693685E-3</v>
      </c>
      <c r="K23">
        <f>K21-$C22</f>
        <v>-5.6936569471841975E-3</v>
      </c>
      <c r="M23">
        <f>M21-$C22</f>
        <v>-1.900077039732842E-3</v>
      </c>
      <c r="N23" s="28"/>
      <c r="O23" s="28">
        <f>O21-$C22</f>
        <v>-3.2908850200318307E-3</v>
      </c>
      <c r="P23" s="28"/>
      <c r="Q23" s="28">
        <f>Q21-$C22</f>
        <v>-3.2319172130697432E-3</v>
      </c>
      <c r="R23" s="28"/>
      <c r="S23" s="28">
        <f>S21-$C22</f>
        <v>2.9643283870198586E-2</v>
      </c>
      <c r="U23">
        <f>U21-$C22</f>
        <v>-2.4189903208245711E-3</v>
      </c>
      <c r="W23">
        <f>W21-$C22</f>
        <v>-4.331143563173448E-3</v>
      </c>
      <c r="X23" t="s">
        <v>8</v>
      </c>
    </row>
    <row r="24" spans="1:24" x14ac:dyDescent="0.3">
      <c r="A24" s="7" t="s">
        <v>64</v>
      </c>
      <c r="C24" s="29">
        <f>MOD(C9-C17,360)</f>
        <v>112.0230301886678</v>
      </c>
      <c r="E24">
        <f>MOD(E9-E17,360)</f>
        <v>110.20533396565682</v>
      </c>
      <c r="G24">
        <f>MOD(G9-G17,360)</f>
        <v>111.24833347922601</v>
      </c>
      <c r="I24">
        <f>MOD(I9-I17,360)</f>
        <v>106.65703682676096</v>
      </c>
      <c r="K24">
        <f>MOD(K9-K17,360)</f>
        <v>110.92892697972306</v>
      </c>
      <c r="M24">
        <f>MOD(M9-M17,360)</f>
        <v>116.03342313673031</v>
      </c>
      <c r="N24" s="28"/>
      <c r="O24" s="28">
        <f>MOD(O9-O17,360)</f>
        <v>109.41467971165483</v>
      </c>
      <c r="P24" s="28"/>
      <c r="Q24" s="28">
        <f>MOD(Q9-Q17,360)</f>
        <v>109.11265375278811</v>
      </c>
      <c r="R24" s="28"/>
      <c r="S24" s="30">
        <f>MOD(S9-S17,360)</f>
        <v>117.25511870305778</v>
      </c>
      <c r="T24" s="29"/>
      <c r="U24" s="29">
        <f>MOD(U9-U17,360)</f>
        <v>98.320994042505475</v>
      </c>
      <c r="V24" s="29"/>
      <c r="W24" s="29">
        <f>MOD(W9-W17,360)</f>
        <v>108.8637544933483</v>
      </c>
      <c r="X24" t="s">
        <v>19</v>
      </c>
    </row>
    <row r="25" spans="1:24" x14ac:dyDescent="0.3">
      <c r="A25" t="s">
        <v>36</v>
      </c>
      <c r="B25">
        <f>STDEV(B24:W24)</f>
        <v>4.9557063374082713</v>
      </c>
      <c r="C25">
        <f>AVERAGE(B24:W24)</f>
        <v>110.00575320728359</v>
      </c>
      <c r="N25" s="28"/>
      <c r="O25" s="28"/>
      <c r="P25" s="28"/>
      <c r="Q25" s="28"/>
      <c r="R25" s="28"/>
      <c r="S25" s="28"/>
    </row>
    <row r="26" spans="1:24" x14ac:dyDescent="0.3">
      <c r="A26" t="s">
        <v>35</v>
      </c>
      <c r="C26">
        <f>C24-$C25</f>
        <v>2.0172769813842137</v>
      </c>
      <c r="E26">
        <f>E24-$C25</f>
        <v>0.19958075837323008</v>
      </c>
      <c r="G26">
        <f>G24-$C25</f>
        <v>1.2425802719424155</v>
      </c>
      <c r="I26">
        <f>I24-$C25</f>
        <v>-3.3487163805226317</v>
      </c>
      <c r="K26">
        <f>K24-$C25</f>
        <v>0.92317377243946908</v>
      </c>
      <c r="M26">
        <f>M24-$C25</f>
        <v>6.0276699294467164</v>
      </c>
      <c r="N26" s="28"/>
      <c r="O26">
        <f>O24-$C25</f>
        <v>-0.59107349562876266</v>
      </c>
      <c r="P26" s="28"/>
      <c r="Q26">
        <f>Q24-$C25</f>
        <v>-0.89309945449548422</v>
      </c>
      <c r="R26" s="28"/>
      <c r="S26">
        <f>S24-$C25</f>
        <v>7.2493654957741853</v>
      </c>
      <c r="U26">
        <f>U24-$C25</f>
        <v>-11.684759164778114</v>
      </c>
      <c r="W26">
        <f>W24-$C25</f>
        <v>-1.1419987139352941</v>
      </c>
      <c r="X26" t="s">
        <v>19</v>
      </c>
    </row>
    <row r="27" spans="1:24" x14ac:dyDescent="0.3">
      <c r="A27" t="s">
        <v>67</v>
      </c>
      <c r="C27">
        <f>SQRT(C16)</f>
        <v>3.082207001484488</v>
      </c>
      <c r="E27">
        <f>SQRT(E16)</f>
        <v>7.245688373094719</v>
      </c>
      <c r="G27">
        <f>SQRT(G16)</f>
        <v>2.9495762407505248</v>
      </c>
      <c r="I27">
        <f>SQRT(I16)</f>
        <v>3.591656999213594</v>
      </c>
      <c r="K27">
        <f>SQRT(K16)</f>
        <v>4.3817804600413286</v>
      </c>
      <c r="M27">
        <f>SQRT(M16)</f>
        <v>3.646916505762094</v>
      </c>
      <c r="N27" s="28"/>
      <c r="O27">
        <f>SQRT(O16)</f>
        <v>7.2387844283415426</v>
      </c>
      <c r="P27" s="28"/>
      <c r="Q27">
        <f>SQRT(Q16)</f>
        <v>8.7578536183245266</v>
      </c>
      <c r="R27" s="28"/>
      <c r="S27">
        <f>SQRT(S16)</f>
        <v>1.3038404810405297</v>
      </c>
      <c r="U27">
        <f>SQRT(U16)</f>
        <v>1.4953260514014997</v>
      </c>
      <c r="W27">
        <f>SQRT(W16)</f>
        <v>2.1621748310439655</v>
      </c>
    </row>
    <row r="28" spans="1:24" x14ac:dyDescent="0.3">
      <c r="A28" t="s">
        <v>68</v>
      </c>
      <c r="B28" s="118" t="s">
        <v>357</v>
      </c>
      <c r="C28">
        <f>C27*C21</f>
        <v>0.36966910049876212</v>
      </c>
      <c r="E28">
        <f>E27*E21</f>
        <v>0.85125080256691477</v>
      </c>
      <c r="G28">
        <f>G27*G21</f>
        <v>0.34085051783977721</v>
      </c>
      <c r="I28">
        <f>I27*I21</f>
        <v>0.41688466879046882</v>
      </c>
      <c r="K28">
        <f>K27*K21</f>
        <v>0.49848415073351071</v>
      </c>
      <c r="M28">
        <f>M27*M21</f>
        <v>0.42871874886106864</v>
      </c>
      <c r="N28" s="28"/>
      <c r="O28">
        <f>O27*O21</f>
        <v>0.84089841967203538</v>
      </c>
      <c r="P28" s="28"/>
      <c r="Q28">
        <f>Q27*Q21</f>
        <v>1.0178785783774154</v>
      </c>
      <c r="R28" s="28"/>
      <c r="S28">
        <f>S27*S21</f>
        <v>0.1944024374649343</v>
      </c>
      <c r="U28">
        <f>U27*U21</f>
        <v>0.17500935596125317</v>
      </c>
      <c r="W28">
        <f>W27*W21</f>
        <v>0.24892131980529159</v>
      </c>
    </row>
    <row r="29" spans="1:24" x14ac:dyDescent="0.3">
      <c r="A29" s="288" t="s">
        <v>69</v>
      </c>
      <c r="B29" s="118">
        <f>SQRT(SUMSQ(C30:AA30)/SUM(C27:W27))</f>
        <v>4.7587566487769153E-3</v>
      </c>
      <c r="C29" s="7">
        <f>SUM(B28:W28)/SUM(B27:W27)</f>
        <v>0.11738902199376433</v>
      </c>
      <c r="N29" s="28"/>
      <c r="P29" s="28"/>
      <c r="R29" s="28"/>
    </row>
    <row r="30" spans="1:24" x14ac:dyDescent="0.3">
      <c r="A30" t="s">
        <v>72</v>
      </c>
      <c r="C30" s="7">
        <f>C21-$C$29</f>
        <v>2.5474716683154125E-3</v>
      </c>
      <c r="E30" s="7">
        <f>E21-$C$29</f>
        <v>9.4750249028871525E-5</v>
      </c>
      <c r="G30" s="7">
        <f>G21-$C$29</f>
        <v>-1.8298738250608765E-3</v>
      </c>
      <c r="I30" s="7">
        <f>I21-$C$29</f>
        <v>-1.3187321855373246E-3</v>
      </c>
      <c r="K30" s="7">
        <f>K21-$C$29</f>
        <v>-3.6260995289521536E-3</v>
      </c>
      <c r="M30" s="7">
        <f>M21-$C$29</f>
        <v>1.6748037849920183E-4</v>
      </c>
      <c r="N30" s="28"/>
      <c r="O30" s="7">
        <f>O21-$C$29</f>
        <v>-1.2233276017997868E-3</v>
      </c>
      <c r="P30" s="28"/>
      <c r="Q30" s="7">
        <f>Q21-$C$29</f>
        <v>-1.1643597948376994E-3</v>
      </c>
      <c r="R30" s="28"/>
      <c r="S30" s="7">
        <f>S21-$C$29</f>
        <v>3.171084128843063E-2</v>
      </c>
      <c r="U30" s="7">
        <f>U21-$C$29</f>
        <v>-3.5143290259252724E-4</v>
      </c>
      <c r="W30" s="7">
        <f>W21-$C$29</f>
        <v>-2.2635861449414041E-3</v>
      </c>
    </row>
    <row r="31" spans="1:24" x14ac:dyDescent="0.3">
      <c r="A31" t="s">
        <v>70</v>
      </c>
      <c r="B31" s="118" t="s">
        <v>357</v>
      </c>
      <c r="C31">
        <f>C27*C24</f>
        <v>345.2781679750201</v>
      </c>
      <c r="E31">
        <f>E27*E24</f>
        <v>798.51350696798011</v>
      </c>
      <c r="G31">
        <f>G27*G24</f>
        <v>328.13544125341622</v>
      </c>
      <c r="I31">
        <f>I27*I24</f>
        <v>383.07549283421804</v>
      </c>
      <c r="K31">
        <f>K27*K24</f>
        <v>486.06620469310184</v>
      </c>
      <c r="M31">
        <f>M27*M24</f>
        <v>423.16420605741899</v>
      </c>
      <c r="N31" s="28"/>
      <c r="O31">
        <f>O27*O24</f>
        <v>792.0292797287043</v>
      </c>
      <c r="P31" s="28"/>
      <c r="Q31">
        <f>Q27*Q24</f>
        <v>955.59264947384656</v>
      </c>
      <c r="R31" s="28"/>
      <c r="S31">
        <f>S27*S24</f>
        <v>152.88197037425925</v>
      </c>
      <c r="U31">
        <f>U27*U24</f>
        <v>147.02194379145007</v>
      </c>
      <c r="W31">
        <f>W27*W24</f>
        <v>235.3824699784671</v>
      </c>
    </row>
    <row r="32" spans="1:24" x14ac:dyDescent="0.3">
      <c r="A32" s="288" t="s">
        <v>71</v>
      </c>
      <c r="B32" s="118">
        <f>SQRT(SUMSQ(C33:AA33)/SUM(C27:W27))</f>
        <v>2.314424931003308</v>
      </c>
      <c r="C32" s="7">
        <f>SUM(B31:W31)/SUM(B27:W27)</f>
        <v>110.06548318525071</v>
      </c>
      <c r="N32" s="28"/>
      <c r="P32" s="28"/>
      <c r="R32" s="28"/>
    </row>
    <row r="33" spans="1:25" x14ac:dyDescent="0.3">
      <c r="A33" t="s">
        <v>73</v>
      </c>
      <c r="C33" s="7">
        <f>C24-$C$32</f>
        <v>1.9575470034170905</v>
      </c>
      <c r="E33" s="7">
        <f>E24-$C$32</f>
        <v>0.13985078040610688</v>
      </c>
      <c r="G33" s="7">
        <f>G24-$C$32</f>
        <v>1.1828502939752923</v>
      </c>
      <c r="I33" s="7">
        <f>I24-$C$32</f>
        <v>-3.4084463584897549</v>
      </c>
      <c r="K33" s="7">
        <f>K24-$C$32</f>
        <v>0.86344379447234587</v>
      </c>
      <c r="M33" s="7">
        <f>M24-$C$32</f>
        <v>5.9679399514795932</v>
      </c>
      <c r="N33" s="28"/>
      <c r="O33" s="7">
        <f>O24-$C$32</f>
        <v>-0.65080347359588586</v>
      </c>
      <c r="P33" s="28"/>
      <c r="Q33" s="7">
        <f>Q24-$C$32</f>
        <v>-0.95282943246260743</v>
      </c>
      <c r="R33" s="28"/>
      <c r="S33" s="7">
        <f>S24-$C$32</f>
        <v>7.1896355178070621</v>
      </c>
      <c r="U33" s="7">
        <f>U24-$C$32</f>
        <v>-11.744489142745238</v>
      </c>
      <c r="W33" s="7">
        <f>W24-$C$32</f>
        <v>-1.2017286919024173</v>
      </c>
      <c r="Y33" s="7"/>
    </row>
    <row r="34" spans="1:25" s="14" customFormat="1" ht="75.75" customHeight="1" x14ac:dyDescent="0.3">
      <c r="A34" s="15" t="s">
        <v>40</v>
      </c>
      <c r="B34" s="391" t="s">
        <v>41</v>
      </c>
      <c r="C34" s="391"/>
      <c r="L34" s="22"/>
      <c r="O34" s="24"/>
      <c r="P34" s="24"/>
      <c r="Q34" s="24"/>
    </row>
    <row r="35" spans="1:25" s="19" customFormat="1" x14ac:dyDescent="0.3">
      <c r="A35" s="20" t="s">
        <v>54</v>
      </c>
      <c r="B35" s="20"/>
      <c r="C35" s="20"/>
      <c r="D35" s="20"/>
      <c r="E35" s="20"/>
      <c r="F35" s="20"/>
      <c r="G35" s="20"/>
      <c r="H35" s="20"/>
      <c r="I35" s="20"/>
    </row>
    <row r="36" spans="1:25" x14ac:dyDescent="0.3">
      <c r="A36" s="7" t="s">
        <v>42</v>
      </c>
      <c r="C36" s="4">
        <f>C8*$C29</f>
        <v>9.2982183728233494</v>
      </c>
      <c r="E36" s="4">
        <f>E8*$C29</f>
        <v>52.457658934684737</v>
      </c>
      <c r="G36" s="4">
        <f>G8*$C29</f>
        <v>8.83776410202322</v>
      </c>
      <c r="H36" s="4"/>
      <c r="I36" s="4">
        <f>I8*$C29</f>
        <v>13.046563304197297</v>
      </c>
      <c r="K36" s="4">
        <f>K8*$C29</f>
        <v>19.811984198783357</v>
      </c>
      <c r="L36" s="4"/>
      <c r="M36" s="4">
        <f>M8*$C29</f>
        <v>13.281051758183605</v>
      </c>
      <c r="N36" s="4"/>
      <c r="O36" s="4">
        <f>O8*$C29</f>
        <v>52.95181838898165</v>
      </c>
      <c r="P36" s="4"/>
      <c r="Q36" s="4">
        <f>Q8*$C29</f>
        <v>77.468394543588332</v>
      </c>
      <c r="R36" s="4"/>
      <c r="S36" s="4">
        <f>S8*$C29</f>
        <v>1.338440780537123</v>
      </c>
      <c r="T36" s="4"/>
      <c r="U36" s="110">
        <f>U8*$C29</f>
        <v>2.2427141161766824</v>
      </c>
      <c r="W36" s="4">
        <f>W8*$C29</f>
        <v>4.7669194368262557</v>
      </c>
      <c r="X36">
        <f>W36*B29/C29</f>
        <v>0.19324302374191218</v>
      </c>
    </row>
    <row r="37" spans="1:25" x14ac:dyDescent="0.3">
      <c r="A37" t="s">
        <v>50</v>
      </c>
      <c r="C37" s="4">
        <f>C36-C16</f>
        <v>-0.2017816271766506</v>
      </c>
      <c r="E37" s="4">
        <f>E36-E16</f>
        <v>-4.2341065315262938E-2</v>
      </c>
      <c r="G37" s="4">
        <f>G36-G16</f>
        <v>0.13776410202322076</v>
      </c>
      <c r="H37" s="4"/>
      <c r="I37" s="4">
        <f>I36-I16</f>
        <v>0.14656330419729713</v>
      </c>
      <c r="K37" s="4">
        <f>K36-K16</f>
        <v>0.61198419878335741</v>
      </c>
      <c r="L37" s="4"/>
      <c r="M37" s="4">
        <f>M36-M16</f>
        <v>-1.8948241816396205E-2</v>
      </c>
      <c r="N37" s="4"/>
      <c r="O37" s="4">
        <f>O36-O16</f>
        <v>0.55181838898165125</v>
      </c>
      <c r="P37" s="4"/>
      <c r="Q37" s="4">
        <f>Q36-Q16</f>
        <v>0.76839454358832882</v>
      </c>
      <c r="R37" s="4"/>
      <c r="S37" s="4">
        <f>S36-S16</f>
        <v>-0.36155921946287695</v>
      </c>
      <c r="T37" s="4"/>
      <c r="U37" s="4">
        <f>U36-U16</f>
        <v>6.7141161766821611E-3</v>
      </c>
      <c r="W37" s="4">
        <f>W36-W16</f>
        <v>9.1919436826255918E-2</v>
      </c>
    </row>
    <row r="38" spans="1:25" x14ac:dyDescent="0.3">
      <c r="A38" t="s">
        <v>51</v>
      </c>
      <c r="C38" s="23">
        <f>C37/C16</f>
        <v>-2.1240171281752696E-2</v>
      </c>
      <c r="E38" s="23">
        <f>E37/E16</f>
        <v>-8.0649648219548458E-4</v>
      </c>
      <c r="G38" s="23">
        <f>G37/G16</f>
        <v>1.5834954255542617E-2</v>
      </c>
      <c r="H38" s="4"/>
      <c r="I38" s="23">
        <f>I37/I16</f>
        <v>1.1361496449402878E-2</v>
      </c>
      <c r="K38" s="23">
        <f>K37/K16</f>
        <v>3.1874177019966532E-2</v>
      </c>
      <c r="L38" s="4"/>
      <c r="M38" s="23">
        <f>M37/M16</f>
        <v>-1.4246798358192635E-3</v>
      </c>
      <c r="N38" s="4"/>
      <c r="O38" s="23">
        <f>O37/O16</f>
        <v>1.0530885285909375E-2</v>
      </c>
      <c r="P38" s="4"/>
      <c r="Q38" s="23">
        <f>Q37/Q16</f>
        <v>1.0018181793850441E-2</v>
      </c>
      <c r="R38" s="4"/>
      <c r="S38" s="23">
        <f>S37/S16</f>
        <v>-0.21268189380169233</v>
      </c>
      <c r="T38" s="4"/>
      <c r="U38" s="23">
        <f>U37/U16</f>
        <v>3.0027353205197499E-3</v>
      </c>
      <c r="W38" s="23">
        <f>W37/W16</f>
        <v>1.9661911620589501E-2</v>
      </c>
    </row>
    <row r="39" spans="1:25" x14ac:dyDescent="0.3">
      <c r="A39" t="s">
        <v>53</v>
      </c>
      <c r="B39">
        <f>AVERAGE(B37:W37)</f>
        <v>0.15368435789141879</v>
      </c>
      <c r="C39" s="23">
        <f>AVERAGE(C38:W38)</f>
        <v>-1.2169899968698061E-2</v>
      </c>
      <c r="E39" s="4"/>
      <c r="G39" s="4"/>
      <c r="H39" s="4"/>
      <c r="I39" s="4"/>
      <c r="K39" s="4"/>
      <c r="L39" s="4"/>
      <c r="M39" s="4"/>
      <c r="N39" s="4"/>
      <c r="O39" s="4"/>
      <c r="P39" s="4"/>
      <c r="Q39" s="4"/>
      <c r="R39" s="4"/>
      <c r="S39" s="4"/>
      <c r="T39" s="4"/>
      <c r="U39" s="4"/>
      <c r="W39" s="4"/>
    </row>
    <row r="40" spans="1:25" x14ac:dyDescent="0.3">
      <c r="A40" t="s">
        <v>52</v>
      </c>
      <c r="B40">
        <f>STDEV(B37:W37)</f>
        <v>0.35102669075445875</v>
      </c>
      <c r="C40" s="23">
        <f>STDEV(C38:W38)</f>
        <v>6.7868184811824231E-2</v>
      </c>
      <c r="E40" s="4"/>
      <c r="G40" s="4"/>
      <c r="H40" s="4"/>
      <c r="I40" s="4"/>
      <c r="K40" s="4"/>
      <c r="L40" s="4"/>
      <c r="M40" s="4"/>
      <c r="N40" s="4"/>
      <c r="O40" s="4"/>
      <c r="P40" s="4"/>
      <c r="Q40" s="4"/>
      <c r="R40" s="4"/>
      <c r="S40" s="4"/>
      <c r="T40" s="4"/>
      <c r="U40" s="4"/>
      <c r="W40" s="4"/>
    </row>
    <row r="41" spans="1:25" x14ac:dyDescent="0.3">
      <c r="C41" s="23"/>
      <c r="E41" s="4"/>
      <c r="G41" s="4"/>
      <c r="H41" s="4"/>
      <c r="I41" s="4"/>
      <c r="K41" s="4"/>
      <c r="L41" s="4"/>
      <c r="M41" s="4"/>
      <c r="N41" s="4"/>
      <c r="O41" s="4"/>
      <c r="P41" s="4"/>
      <c r="Q41" s="4"/>
      <c r="R41" s="4"/>
      <c r="S41" s="4"/>
      <c r="T41" s="4"/>
      <c r="U41" s="4"/>
      <c r="W41" s="4"/>
    </row>
    <row r="42" spans="1:25" x14ac:dyDescent="0.3">
      <c r="A42" s="7" t="s">
        <v>43</v>
      </c>
      <c r="C42" s="4">
        <f>MOD(C9-$C32,360)</f>
        <v>205.95754700341709</v>
      </c>
      <c r="E42" s="4">
        <f>MOD(E9-$C32,360)</f>
        <v>359.13985078040611</v>
      </c>
      <c r="G42" s="4">
        <f>MOD(G9-$C32,360)</f>
        <v>30.323828574722711</v>
      </c>
      <c r="H42" s="4"/>
      <c r="I42" s="4">
        <f>MOD(I9-$C32,360)</f>
        <v>129.67807965122003</v>
      </c>
      <c r="K42" s="4">
        <f>MOD(K9-$C32,360)</f>
        <v>119.25957724948773</v>
      </c>
      <c r="L42" s="4"/>
      <c r="M42" s="4">
        <f>MOD(M9-$C32,360)</f>
        <v>61.804414460593307</v>
      </c>
      <c r="N42" s="4"/>
      <c r="O42" s="4">
        <f>MOD(O9-$C32,360)</f>
        <v>92.349196526404114</v>
      </c>
      <c r="P42" s="4"/>
      <c r="Q42" s="4">
        <f>MOD(Q9-$C32,360)</f>
        <v>101.04717056753739</v>
      </c>
      <c r="R42" s="4"/>
      <c r="S42" s="4">
        <f>MOD(S9-$C32,360)</f>
        <v>85.189635517807062</v>
      </c>
      <c r="T42" s="4"/>
      <c r="U42" s="4">
        <f>MOD(U9-$C32,360)</f>
        <v>153.92551085725475</v>
      </c>
      <c r="W42" s="4">
        <f>MOD(W9-$C32,360)</f>
        <v>60.008271308097591</v>
      </c>
      <c r="X42">
        <f>B32</f>
        <v>2.314424931003308</v>
      </c>
    </row>
    <row r="43" spans="1:25" x14ac:dyDescent="0.3">
      <c r="A43" t="s">
        <v>55</v>
      </c>
      <c r="C43" s="4">
        <f>C42-C17</f>
        <v>1.9575470034170905</v>
      </c>
      <c r="E43" s="4">
        <f>E42-E17</f>
        <v>0.13985078040610688</v>
      </c>
      <c r="G43" s="4">
        <f>G42-G17</f>
        <v>1.1828502939752923</v>
      </c>
      <c r="H43" s="4"/>
      <c r="I43" s="4">
        <f>I42-I17</f>
        <v>-3.4084463584897549</v>
      </c>
      <c r="K43" s="4">
        <f>K42-K17</f>
        <v>0.86344379447234587</v>
      </c>
      <c r="L43" s="4"/>
      <c r="M43" s="4">
        <f>M42-M17</f>
        <v>5.9679399514795861</v>
      </c>
      <c r="N43" s="4"/>
      <c r="O43" s="4">
        <f>O42-O17</f>
        <v>-0.65080347359588586</v>
      </c>
      <c r="P43" s="4"/>
      <c r="Q43" s="4">
        <f>Q42-Q17</f>
        <v>-0.95282943246260743</v>
      </c>
      <c r="R43" s="4"/>
      <c r="S43" s="4">
        <f>S42-S17</f>
        <v>7.1896355178070621</v>
      </c>
      <c r="T43" s="4"/>
      <c r="U43" s="4">
        <f>U42-U17</f>
        <v>-11.744489142745238</v>
      </c>
      <c r="W43" s="4">
        <f>W42-W17</f>
        <v>-1.2017286919024102</v>
      </c>
    </row>
    <row r="44" spans="1:25" x14ac:dyDescent="0.3">
      <c r="A44" t="s">
        <v>56</v>
      </c>
      <c r="B44">
        <f>AVERAGE(B43:W43)</f>
        <v>-5.9729977967128374E-2</v>
      </c>
      <c r="C44" s="4"/>
      <c r="E44" s="4"/>
      <c r="G44" s="4"/>
      <c r="H44" s="4"/>
      <c r="I44" s="4"/>
      <c r="K44" s="4"/>
      <c r="L44" s="4"/>
      <c r="M44" s="4"/>
      <c r="N44" s="4"/>
      <c r="O44" s="4"/>
      <c r="P44" s="4"/>
      <c r="Q44" s="4"/>
      <c r="R44" s="4"/>
      <c r="S44" s="4"/>
      <c r="T44" s="4"/>
      <c r="U44" s="4"/>
      <c r="W44" s="4"/>
    </row>
    <row r="45" spans="1:25" x14ac:dyDescent="0.3">
      <c r="A45" t="s">
        <v>57</v>
      </c>
      <c r="B45">
        <f>STDEV(B43:W43)</f>
        <v>4.9557063374082713</v>
      </c>
      <c r="C45" s="4"/>
      <c r="E45" s="4"/>
      <c r="G45" s="4"/>
      <c r="H45" s="4"/>
      <c r="I45" s="4"/>
      <c r="K45" s="4"/>
      <c r="L45" s="4"/>
      <c r="M45" s="4"/>
      <c r="N45" s="4"/>
      <c r="O45" s="4"/>
      <c r="P45" s="4"/>
      <c r="Q45" s="4"/>
      <c r="R45" s="4"/>
      <c r="S45" s="4"/>
      <c r="T45" s="4"/>
      <c r="U45" s="4"/>
      <c r="W45" s="4"/>
    </row>
    <row r="46" spans="1:25" x14ac:dyDescent="0.3">
      <c r="C46" s="4"/>
      <c r="E46" s="4"/>
      <c r="G46" s="4"/>
      <c r="H46" s="4"/>
      <c r="I46" s="4"/>
      <c r="K46" s="4"/>
      <c r="L46" s="4"/>
      <c r="M46" s="4"/>
      <c r="N46" s="4"/>
      <c r="O46" s="4"/>
      <c r="P46" s="4"/>
      <c r="Q46" s="4"/>
      <c r="R46" s="4"/>
      <c r="S46" s="4"/>
      <c r="T46" s="4"/>
      <c r="U46" s="4"/>
      <c r="W46" s="4"/>
    </row>
    <row r="47" spans="1:25" x14ac:dyDescent="0.3">
      <c r="A47" t="s">
        <v>44</v>
      </c>
      <c r="B47" s="9">
        <f>-C36*SIN((C42)/180*PI())</f>
        <v>4.0698773232990542</v>
      </c>
      <c r="C47" s="9">
        <f>C36*COS((C42)/180*PI())</f>
        <v>-8.3602011627714923</v>
      </c>
      <c r="D47" s="9">
        <f>-E36*SIN((E42)/180*PI())</f>
        <v>0.78748766378769752</v>
      </c>
      <c r="E47" s="9">
        <f>E36*COS((E42)/180*PI())</f>
        <v>52.451747769612901</v>
      </c>
      <c r="F47" s="9">
        <f>-G36*SIN((G42)/180*PI())</f>
        <v>-4.4620691571938913</v>
      </c>
      <c r="G47" s="9">
        <f>G36*COS((G42)/180*PI())</f>
        <v>7.6286311458497771</v>
      </c>
      <c r="H47" s="9">
        <f>-I36*SIN((I42)/180*PI())</f>
        <v>-10.041207601685263</v>
      </c>
      <c r="I47" s="9">
        <f>I36*COS((I42)/180*PI())</f>
        <v>-8.329883789722734</v>
      </c>
      <c r="J47" s="9">
        <f>-K36*SIN((K42)/180*PI())</f>
        <v>-17.284258715238774</v>
      </c>
      <c r="K47" s="9">
        <f>K36*COS((K42)/180*PI())</f>
        <v>-9.6834455932552164</v>
      </c>
      <c r="L47" s="9">
        <f>-M36*SIN((M42)/180*PI())</f>
        <v>-11.705120270747393</v>
      </c>
      <c r="M47" s="9">
        <f>M36*COS((M42)/180*PI())</f>
        <v>6.275069342317285</v>
      </c>
      <c r="N47" s="9">
        <f>-O36*SIN((O42)/180*PI())</f>
        <v>-52.907315984549257</v>
      </c>
      <c r="O47" s="9">
        <f>O36*COS((O42)/180*PI())</f>
        <v>-2.1704805944199244</v>
      </c>
      <c r="P47" s="9">
        <f>-Q36*SIN((Q42)/180*PI())</f>
        <v>-76.032886696252135</v>
      </c>
      <c r="Q47" s="9">
        <f>Q36*COS((Q42)/180*PI())</f>
        <v>-14.844268045139547</v>
      </c>
      <c r="R47" s="9">
        <f>-S36*SIN((S42)/180*PI())</f>
        <v>-1.3337263987368253</v>
      </c>
      <c r="S47" s="9">
        <f>S36*COS((S42)/180*PI())</f>
        <v>0.1122391033344531</v>
      </c>
      <c r="T47" s="9">
        <f>-U36*SIN((U42)/180*PI())</f>
        <v>-0.98576094982387119</v>
      </c>
      <c r="U47" s="9">
        <f>U36*COS((U42)/180*PI())</f>
        <v>-2.0144582290781057</v>
      </c>
      <c r="V47" s="9">
        <f>-W36*SIN((W42)/180*PI())</f>
        <v>-4.1286173670295581</v>
      </c>
      <c r="W47" s="9">
        <f>W36*COS((W42)/180*PI())</f>
        <v>2.3828637296022337</v>
      </c>
    </row>
    <row r="48" spans="1:25" s="10" customFormat="1" x14ac:dyDescent="0.3">
      <c r="A48" t="s">
        <v>45</v>
      </c>
      <c r="B48" s="9">
        <f t="shared" ref="B48:W48" si="4">B47-B18</f>
        <v>0.20587921407895582</v>
      </c>
      <c r="C48" s="9">
        <f t="shared" si="4"/>
        <v>0.31848068483321867</v>
      </c>
      <c r="D48" s="9">
        <f t="shared" si="4"/>
        <v>-0.12876367416968937</v>
      </c>
      <c r="E48" s="9">
        <f t="shared" si="4"/>
        <v>-4.0256226097639569E-2</v>
      </c>
      <c r="F48" s="9">
        <f t="shared" si="4"/>
        <v>-0.22551556463636224</v>
      </c>
      <c r="G48" s="9">
        <f t="shared" si="4"/>
        <v>2.984086993165036E-2</v>
      </c>
      <c r="H48" s="9">
        <f t="shared" si="4"/>
        <v>-0.62004169060092629</v>
      </c>
      <c r="I48" s="9">
        <f t="shared" si="4"/>
        <v>0.4821326013095959</v>
      </c>
      <c r="J48" s="9">
        <f t="shared" si="4"/>
        <v>-0.39438989233644151</v>
      </c>
      <c r="K48" s="9">
        <f t="shared" si="4"/>
        <v>-0.55260055321912382</v>
      </c>
      <c r="L48" s="9">
        <f t="shared" si="4"/>
        <v>-0.70019182380806377</v>
      </c>
      <c r="M48" s="9">
        <f t="shared" si="4"/>
        <v>-1.1936353564738988</v>
      </c>
      <c r="N48" s="9">
        <f t="shared" si="4"/>
        <v>-0.57912836340958762</v>
      </c>
      <c r="O48" s="9">
        <f t="shared" si="4"/>
        <v>0.57192351271033282</v>
      </c>
      <c r="P48" s="9">
        <f t="shared" si="4"/>
        <v>-1.0089657199692397</v>
      </c>
      <c r="Q48" s="9">
        <f t="shared" si="4"/>
        <v>1.1025586405825791</v>
      </c>
      <c r="R48" s="9">
        <f t="shared" si="4"/>
        <v>0.32912452251064428</v>
      </c>
      <c r="S48" s="9">
        <f t="shared" si="4"/>
        <v>-0.24121077105573763</v>
      </c>
      <c r="T48" s="9">
        <f t="shared" si="4"/>
        <v>-0.43233674162702584</v>
      </c>
      <c r="U48" s="9">
        <f t="shared" si="4"/>
        <v>0.15197147109259124</v>
      </c>
      <c r="V48" s="9">
        <f t="shared" si="4"/>
        <v>-3.1490617443821201E-2</v>
      </c>
      <c r="W48" s="9">
        <f t="shared" si="4"/>
        <v>0.13138035239754942</v>
      </c>
    </row>
    <row r="49" spans="1:23" x14ac:dyDescent="0.3">
      <c r="A49" t="s">
        <v>46</v>
      </c>
      <c r="B49">
        <f t="shared" ref="B49:W49" si="5">B48^2</f>
        <v>4.2386250789768522E-2</v>
      </c>
      <c r="C49">
        <f t="shared" si="5"/>
        <v>0.10142994661183596</v>
      </c>
      <c r="D49">
        <f t="shared" si="5"/>
        <v>1.6580083785677928E-2</v>
      </c>
      <c r="E49">
        <f t="shared" si="5"/>
        <v>1.6205637396242772E-3</v>
      </c>
      <c r="F49">
        <f t="shared" si="5"/>
        <v>5.0857269893257277E-2</v>
      </c>
      <c r="G49">
        <f t="shared" si="5"/>
        <v>8.9047751827767455E-4</v>
      </c>
      <c r="H49">
        <f t="shared" si="5"/>
        <v>0.3844516980832548</v>
      </c>
      <c r="I49">
        <f t="shared" si="5"/>
        <v>0.23245184524555776</v>
      </c>
      <c r="J49">
        <f t="shared" si="5"/>
        <v>0.15554338717714991</v>
      </c>
      <c r="K49">
        <f t="shared" si="5"/>
        <v>0.30536737141808168</v>
      </c>
      <c r="L49">
        <f t="shared" si="5"/>
        <v>0.49026859012766261</v>
      </c>
      <c r="M49">
        <f t="shared" si="5"/>
        <v>1.4247653642245717</v>
      </c>
      <c r="N49">
        <f t="shared" si="5"/>
        <v>0.33538966130546738</v>
      </c>
      <c r="O49">
        <f t="shared" si="5"/>
        <v>0.32709650439092625</v>
      </c>
      <c r="P49">
        <f>P48^2</f>
        <v>1.0180118240730462</v>
      </c>
      <c r="Q49">
        <f>Q48^2</f>
        <v>1.215635555923305</v>
      </c>
      <c r="R49">
        <f t="shared" si="5"/>
        <v>0.10832295131785959</v>
      </c>
      <c r="S49">
        <f t="shared" si="5"/>
        <v>5.818263607330347E-2</v>
      </c>
      <c r="T49">
        <f t="shared" si="5"/>
        <v>0.18691505816067369</v>
      </c>
      <c r="U49">
        <f t="shared" si="5"/>
        <v>2.3095328026046295E-2</v>
      </c>
      <c r="V49">
        <f t="shared" si="5"/>
        <v>9.9165898699309606E-4</v>
      </c>
      <c r="W49">
        <f t="shared" si="5"/>
        <v>1.7260796996104267E-2</v>
      </c>
    </row>
    <row r="50" spans="1:23" s="10" customFormat="1" x14ac:dyDescent="0.3">
      <c r="A50" t="s">
        <v>47</v>
      </c>
      <c r="B50" s="9"/>
      <c r="C50" s="9">
        <f>SQRT(B49+C49)</f>
        <v>0.37923106070258072</v>
      </c>
      <c r="D50" s="9"/>
      <c r="E50" s="9">
        <f>SQRT(D49+E49)</f>
        <v>0.13490977549941369</v>
      </c>
      <c r="F50" s="9"/>
      <c r="G50" s="9">
        <f>SQRT(F49+G49)</f>
        <v>0.22748131222483958</v>
      </c>
      <c r="H50" s="9"/>
      <c r="I50" s="9">
        <f>SQRT(H49+I49)</f>
        <v>0.78543207429338702</v>
      </c>
      <c r="J50" s="9"/>
      <c r="K50" s="9">
        <f>SQRT(J49+K49)</f>
        <v>0.67890408644758615</v>
      </c>
      <c r="L50" s="9"/>
      <c r="M50" s="9">
        <f>SQRT(L49+M49)</f>
        <v>1.383847518461566</v>
      </c>
      <c r="N50" s="9"/>
      <c r="O50" s="9">
        <f>SQRT(N49+O49)</f>
        <v>0.81393253141546917</v>
      </c>
      <c r="P50" s="9"/>
      <c r="Q50" s="9">
        <f>SQRT(P49+Q49)</f>
        <v>1.4945391865041047</v>
      </c>
      <c r="R50" s="9"/>
      <c r="S50" s="9">
        <f>SQRT(R49+S49)</f>
        <v>0.40805096175742933</v>
      </c>
      <c r="T50" s="9"/>
      <c r="U50" s="9">
        <f>SQRT(T49+U49)</f>
        <v>0.45826890161423783</v>
      </c>
      <c r="V50" s="9"/>
      <c r="W50" s="9">
        <f>SQRT(V49+W49)</f>
        <v>0.1351016505565249</v>
      </c>
    </row>
    <row r="51" spans="1:23" s="10" customFormat="1" x14ac:dyDescent="0.3">
      <c r="A51" t="s">
        <v>48</v>
      </c>
      <c r="B51" s="9"/>
      <c r="C51" s="12">
        <f>C50/C36</f>
        <v>4.0785346772559121E-2</v>
      </c>
      <c r="E51" s="11">
        <f>E50/E36</f>
        <v>2.5717841443780487E-3</v>
      </c>
      <c r="G51" s="11">
        <f>G50/G36</f>
        <v>2.5739690446451555E-2</v>
      </c>
      <c r="I51" s="11">
        <f>I50/I36</f>
        <v>6.0202220000779849E-2</v>
      </c>
      <c r="K51" s="11">
        <f>K50/K36</f>
        <v>3.4267344433339356E-2</v>
      </c>
      <c r="M51" s="11">
        <f>M50/M36</f>
        <v>0.10419713315316746</v>
      </c>
      <c r="O51" s="12">
        <f>O50/O36</f>
        <v>1.5371191324089341E-2</v>
      </c>
      <c r="Q51" s="12">
        <f>Q50/Q36</f>
        <v>1.9292244215325619E-2</v>
      </c>
      <c r="S51" s="12">
        <f>S50/S36</f>
        <v>0.30487038925523208</v>
      </c>
      <c r="U51" s="11">
        <f>U50/U36</f>
        <v>0.20433674462061269</v>
      </c>
      <c r="W51" s="12">
        <f>W50/W36</f>
        <v>2.8341500700182501E-2</v>
      </c>
    </row>
    <row r="52" spans="1:23" s="10" customFormat="1" x14ac:dyDescent="0.3">
      <c r="A52"/>
      <c r="B52" s="9"/>
      <c r="C52" s="12"/>
      <c r="E52" s="11"/>
      <c r="G52" s="11"/>
      <c r="I52" s="11"/>
      <c r="K52" s="11"/>
      <c r="M52" s="11"/>
      <c r="O52" s="12"/>
      <c r="P52" s="12"/>
      <c r="Q52" s="12"/>
      <c r="S52" s="12"/>
      <c r="U52" s="11"/>
      <c r="W52" s="12"/>
    </row>
    <row r="53" spans="1:23" s="10" customFormat="1" x14ac:dyDescent="0.3">
      <c r="A53" t="s">
        <v>89</v>
      </c>
      <c r="B53" s="9">
        <f>MEDIAN(B50:W50)</f>
        <v>0.45826890161423783</v>
      </c>
      <c r="C53" s="12"/>
      <c r="E53" s="11"/>
      <c r="G53" s="11"/>
      <c r="I53" s="11"/>
      <c r="K53" s="11"/>
      <c r="M53" s="11"/>
      <c r="O53" s="12"/>
      <c r="P53" s="12"/>
      <c r="Q53" s="12"/>
      <c r="S53" s="12"/>
      <c r="U53" s="11"/>
      <c r="W53" s="12"/>
    </row>
    <row r="54" spans="1:23" s="10" customFormat="1" x14ac:dyDescent="0.3">
      <c r="A54" t="s">
        <v>81</v>
      </c>
      <c r="B54" s="9">
        <f>AVERAGE(B50:W50)</f>
        <v>0.62724536904337624</v>
      </c>
      <c r="C54" s="12"/>
      <c r="E54" s="11"/>
      <c r="G54" s="11"/>
      <c r="I54" s="11"/>
      <c r="K54" s="11"/>
      <c r="M54" s="11"/>
      <c r="O54" s="12"/>
      <c r="P54" s="12"/>
      <c r="Q54" s="12"/>
      <c r="S54" s="12"/>
      <c r="U54" s="11"/>
      <c r="W54" s="12"/>
    </row>
    <row r="55" spans="1:23" s="10" customFormat="1" x14ac:dyDescent="0.3">
      <c r="A55" t="s">
        <v>82</v>
      </c>
      <c r="B55" s="9">
        <f>STDEV(B50:W50)</f>
        <v>0.46580151792565805</v>
      </c>
      <c r="C55" s="12"/>
      <c r="E55" s="11"/>
      <c r="G55" s="11"/>
      <c r="I55" s="11"/>
      <c r="K55" s="11"/>
      <c r="M55" s="11"/>
      <c r="O55" s="12"/>
      <c r="P55" s="12"/>
      <c r="Q55" s="12"/>
      <c r="S55" s="12"/>
      <c r="U55" s="11"/>
      <c r="W55" s="12"/>
    </row>
    <row r="56" spans="1:23" s="10" customFormat="1" x14ac:dyDescent="0.3">
      <c r="A56" t="s">
        <v>83</v>
      </c>
      <c r="B56" s="9">
        <f>COUNT(B50:W50)</f>
        <v>11</v>
      </c>
      <c r="C56" s="12"/>
      <c r="E56" s="11"/>
      <c r="G56" s="11"/>
      <c r="I56" s="11"/>
      <c r="K56" s="11"/>
      <c r="M56" s="11"/>
      <c r="O56" s="12"/>
      <c r="P56" s="12"/>
      <c r="Q56" s="12"/>
      <c r="S56" s="12"/>
      <c r="U56" s="11"/>
      <c r="W56" s="12"/>
    </row>
    <row r="57" spans="1:23" s="10" customFormat="1" x14ac:dyDescent="0.3">
      <c r="A57"/>
      <c r="B57" s="9"/>
      <c r="C57" s="9"/>
    </row>
    <row r="58" spans="1:23" s="10" customFormat="1" x14ac:dyDescent="0.3">
      <c r="B58" s="7"/>
      <c r="C58" s="7"/>
      <c r="D58" s="7"/>
      <c r="E58" s="7"/>
    </row>
    <row r="59" spans="1:23" ht="15.6" x14ac:dyDescent="0.3">
      <c r="A59" s="7" t="s">
        <v>27</v>
      </c>
      <c r="K59" t="s">
        <v>22</v>
      </c>
      <c r="L59" s="3"/>
    </row>
    <row r="60" spans="1:23" ht="15.6" x14ac:dyDescent="0.3">
      <c r="A60" t="s">
        <v>21</v>
      </c>
      <c r="K60" t="s">
        <v>26</v>
      </c>
      <c r="L60" s="3"/>
    </row>
    <row r="61" spans="1:23" ht="15.6" x14ac:dyDescent="0.3">
      <c r="A61" t="s">
        <v>24</v>
      </c>
      <c r="K61" t="s">
        <v>25</v>
      </c>
      <c r="L61" s="3"/>
    </row>
    <row r="62" spans="1:23" x14ac:dyDescent="0.3">
      <c r="A62" t="s">
        <v>24</v>
      </c>
      <c r="K62" t="s">
        <v>30</v>
      </c>
    </row>
    <row r="63" spans="1:23" x14ac:dyDescent="0.3">
      <c r="A63" t="s">
        <v>24</v>
      </c>
    </row>
  </sheetData>
  <mergeCells count="15">
    <mergeCell ref="B34:C34"/>
    <mergeCell ref="X2:Y2"/>
    <mergeCell ref="F10:G10"/>
    <mergeCell ref="H10:I10"/>
    <mergeCell ref="J10:K10"/>
    <mergeCell ref="L10:M10"/>
    <mergeCell ref="P10:Q10"/>
    <mergeCell ref="N10:O10"/>
    <mergeCell ref="R10:S10"/>
    <mergeCell ref="T10:U10"/>
    <mergeCell ref="B10:C10"/>
    <mergeCell ref="D10:E10"/>
    <mergeCell ref="B19:C19"/>
    <mergeCell ref="D19:E19"/>
    <mergeCell ref="V10:W10"/>
  </mergeCells>
  <phoneticPr fontId="1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pane xSplit="1" ySplit="2" topLeftCell="B6" activePane="bottomRight" state="frozenSplit"/>
      <selection pane="topRight"/>
      <selection pane="bottomLeft" activeCell="A3" sqref="A3"/>
      <selection pane="bottomRight" activeCell="C29" sqref="C29"/>
    </sheetView>
  </sheetViews>
  <sheetFormatPr defaultRowHeight="14.4" x14ac:dyDescent="0.3"/>
  <cols>
    <col min="1" max="1" width="25.5546875" customWidth="1"/>
    <col min="2" max="5" width="11.6640625" customWidth="1"/>
  </cols>
  <sheetData>
    <row r="1" spans="1:5" s="19" customFormat="1" x14ac:dyDescent="0.3">
      <c r="A1" s="20" t="s">
        <v>39</v>
      </c>
      <c r="B1" s="20"/>
      <c r="C1" s="20"/>
      <c r="D1" s="20"/>
      <c r="E1" s="20"/>
    </row>
    <row r="2" spans="1:5" s="13" customFormat="1" x14ac:dyDescent="0.3">
      <c r="B2" s="27"/>
      <c r="C2" s="27" t="s">
        <v>0</v>
      </c>
      <c r="E2" s="13" t="s">
        <v>3</v>
      </c>
    </row>
    <row r="3" spans="1:5" s="13" customFormat="1" x14ac:dyDescent="0.3">
      <c r="B3" s="27" t="s">
        <v>61</v>
      </c>
      <c r="C3" s="27" t="s">
        <v>60</v>
      </c>
    </row>
    <row r="4" spans="1:5" x14ac:dyDescent="0.3">
      <c r="A4" t="s">
        <v>1</v>
      </c>
      <c r="B4">
        <v>319</v>
      </c>
      <c r="C4">
        <v>536</v>
      </c>
      <c r="D4">
        <v>216</v>
      </c>
      <c r="E4">
        <v>441</v>
      </c>
    </row>
    <row r="5" spans="1:5" x14ac:dyDescent="0.3">
      <c r="A5" t="s">
        <v>2</v>
      </c>
      <c r="B5">
        <v>259</v>
      </c>
      <c r="C5">
        <v>592</v>
      </c>
      <c r="D5">
        <v>237</v>
      </c>
      <c r="E5">
        <v>459</v>
      </c>
    </row>
    <row r="6" spans="1:5" x14ac:dyDescent="0.3">
      <c r="A6" t="s">
        <v>4</v>
      </c>
      <c r="B6">
        <f>B5-B4</f>
        <v>-60</v>
      </c>
      <c r="C6">
        <f>C5-C4</f>
        <v>56</v>
      </c>
      <c r="D6">
        <f>D5-D4</f>
        <v>21</v>
      </c>
      <c r="E6">
        <f>E5-E4</f>
        <v>18</v>
      </c>
    </row>
    <row r="7" spans="1:5" x14ac:dyDescent="0.3">
      <c r="A7" t="s">
        <v>5</v>
      </c>
      <c r="B7">
        <f>B6^2</f>
        <v>3600</v>
      </c>
      <c r="C7">
        <f>C6^2</f>
        <v>3136</v>
      </c>
      <c r="D7">
        <f>D6^2</f>
        <v>441</v>
      </c>
      <c r="E7">
        <f>E6^2</f>
        <v>324</v>
      </c>
    </row>
    <row r="8" spans="1:5" x14ac:dyDescent="0.3">
      <c r="A8" t="s">
        <v>6</v>
      </c>
      <c r="C8">
        <f>SQRT(SUM(B7:C7))</f>
        <v>82.073138114732771</v>
      </c>
      <c r="E8">
        <f>SQRT(SUM(D7:E7))</f>
        <v>27.658633371878661</v>
      </c>
    </row>
    <row r="9" spans="1:5" x14ac:dyDescent="0.3">
      <c r="A9" t="s">
        <v>7</v>
      </c>
      <c r="C9">
        <f>MOD(ATAN2(C6,B6)*180/PI()+270,360)</f>
        <v>223.02506598911802</v>
      </c>
      <c r="E9">
        <f>MOD(ATAN2(E6,D6)*180/PI()+270,360)</f>
        <v>319.39870535499551</v>
      </c>
    </row>
    <row r="10" spans="1:5" s="17" customFormat="1" ht="117" customHeight="1" x14ac:dyDescent="0.3">
      <c r="A10" s="16" t="s">
        <v>40</v>
      </c>
      <c r="B10" s="393" t="s">
        <v>78</v>
      </c>
      <c r="C10" s="393"/>
      <c r="D10" s="393" t="s">
        <v>78</v>
      </c>
      <c r="E10" s="393"/>
    </row>
    <row r="11" spans="1:5" s="19" customFormat="1" x14ac:dyDescent="0.3">
      <c r="A11" s="20" t="s">
        <v>37</v>
      </c>
      <c r="B11" s="20"/>
      <c r="C11" s="20"/>
      <c r="D11" s="20"/>
      <c r="E11" s="20"/>
    </row>
    <row r="12" spans="1:5" s="1" customFormat="1" x14ac:dyDescent="0.3">
      <c r="B12" s="1" t="s">
        <v>62</v>
      </c>
      <c r="C12" s="1" t="s">
        <v>63</v>
      </c>
    </row>
    <row r="13" spans="1:5" x14ac:dyDescent="0.3">
      <c r="A13" t="s">
        <v>18</v>
      </c>
    </row>
    <row r="14" spans="1:5" x14ac:dyDescent="0.3">
      <c r="A14" t="s">
        <v>17</v>
      </c>
    </row>
    <row r="15" spans="1:5" x14ac:dyDescent="0.3">
      <c r="A15" t="s">
        <v>14</v>
      </c>
    </row>
    <row r="16" spans="1:5" x14ac:dyDescent="0.3">
      <c r="A16" t="s">
        <v>13</v>
      </c>
      <c r="C16">
        <v>4.444</v>
      </c>
      <c r="E16">
        <v>1.635</v>
      </c>
    </row>
    <row r="17" spans="1:5" x14ac:dyDescent="0.3">
      <c r="A17" t="s">
        <v>7</v>
      </c>
      <c r="C17">
        <v>125.57</v>
      </c>
      <c r="E17">
        <v>220.7</v>
      </c>
    </row>
    <row r="18" spans="1:5" x14ac:dyDescent="0.3">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
      <c r="A19" s="15" t="s">
        <v>40</v>
      </c>
      <c r="B19" s="389"/>
      <c r="C19" s="389"/>
      <c r="D19" s="390"/>
      <c r="E19" s="390"/>
    </row>
    <row r="20" spans="1:5" s="19" customFormat="1" x14ac:dyDescent="0.3">
      <c r="A20" s="18" t="s">
        <v>38</v>
      </c>
    </row>
    <row r="21" spans="1:5" x14ac:dyDescent="0.3">
      <c r="A21" s="7" t="s">
        <v>65</v>
      </c>
      <c r="C21">
        <f>C16/C8</f>
        <v>5.4146826867855165E-2</v>
      </c>
      <c r="E21">
        <f>E16/E8</f>
        <v>5.9113549755583812E-2</v>
      </c>
    </row>
    <row r="22" spans="1:5" x14ac:dyDescent="0.3">
      <c r="A22" t="s">
        <v>34</v>
      </c>
      <c r="B22">
        <f>STDEV(B21:E21)</f>
        <v>3.512003434187358E-3</v>
      </c>
      <c r="C22">
        <f>AVERAGE(B21:E21)</f>
        <v>5.6630188311719488E-2</v>
      </c>
    </row>
    <row r="23" spans="1:5" x14ac:dyDescent="0.3">
      <c r="A23" t="s">
        <v>35</v>
      </c>
      <c r="C23">
        <f>C21-$C22</f>
        <v>-2.4833614438643237E-3</v>
      </c>
      <c r="E23">
        <f>E21-$C22</f>
        <v>2.4833614438643237E-3</v>
      </c>
    </row>
    <row r="24" spans="1:5" x14ac:dyDescent="0.3">
      <c r="A24" s="7" t="s">
        <v>64</v>
      </c>
      <c r="C24" s="29">
        <f>MOD(C9-C17,360)</f>
        <v>97.455065989118026</v>
      </c>
      <c r="E24">
        <f>MOD(E9-E17,360)</f>
        <v>98.698705354995525</v>
      </c>
    </row>
    <row r="25" spans="1:5" x14ac:dyDescent="0.3">
      <c r="A25" t="s">
        <v>36</v>
      </c>
      <c r="B25">
        <f>STDEV(B24:E24)</f>
        <v>0.87938582896251738</v>
      </c>
      <c r="C25">
        <f>AVERAGE(B24:E24)</f>
        <v>98.076885672056775</v>
      </c>
    </row>
    <row r="26" spans="1:5" x14ac:dyDescent="0.3">
      <c r="A26" t="s">
        <v>35</v>
      </c>
      <c r="C26">
        <f>C24-$C25</f>
        <v>-0.62181968293874945</v>
      </c>
      <c r="E26">
        <f>E24-$C25</f>
        <v>0.62181968293874945</v>
      </c>
    </row>
    <row r="27" spans="1:5" x14ac:dyDescent="0.3">
      <c r="A27" t="s">
        <v>67</v>
      </c>
      <c r="C27">
        <f>SQRT(C16)</f>
        <v>2.1080796948882172</v>
      </c>
      <c r="E27">
        <f>SQRT(E16)</f>
        <v>1.2786711852544421</v>
      </c>
    </row>
    <row r="28" spans="1:5" x14ac:dyDescent="0.3">
      <c r="A28" t="s">
        <v>68</v>
      </c>
      <c r="C28">
        <f>C27*C21</f>
        <v>0.11414582626275324</v>
      </c>
      <c r="E28">
        <f>E27*E21</f>
        <v>7.5586792730569785E-2</v>
      </c>
    </row>
    <row r="29" spans="1:5" x14ac:dyDescent="0.3">
      <c r="A29" t="s">
        <v>69</v>
      </c>
      <c r="C29" s="7">
        <f>SUM(B28:E28)/SUM(B27:E27)</f>
        <v>5.6022018066274472E-2</v>
      </c>
    </row>
    <row r="30" spans="1:5" x14ac:dyDescent="0.3">
      <c r="A30" t="s">
        <v>72</v>
      </c>
      <c r="C30" s="7">
        <f>C21-$C$29</f>
        <v>-1.875191198419307E-3</v>
      </c>
      <c r="E30" s="7">
        <f>E21-$C$29</f>
        <v>3.0915316893093403E-3</v>
      </c>
    </row>
    <row r="31" spans="1:5" x14ac:dyDescent="0.3">
      <c r="A31" t="s">
        <v>70</v>
      </c>
      <c r="C31">
        <f>C27*C24</f>
        <v>205.443045775651</v>
      </c>
      <c r="E31">
        <f>E27*E24</f>
        <v>126.20319055935109</v>
      </c>
    </row>
    <row r="32" spans="1:5" x14ac:dyDescent="0.3">
      <c r="A32" t="s">
        <v>71</v>
      </c>
      <c r="C32" s="7">
        <f>SUM(B31:E31)/SUM(B27:E27)</f>
        <v>97.924603276705199</v>
      </c>
    </row>
    <row r="33" spans="1:5" x14ac:dyDescent="0.3">
      <c r="A33" t="s">
        <v>73</v>
      </c>
      <c r="C33" s="7">
        <f>C24-$C$32</f>
        <v>-0.46953728758717261</v>
      </c>
      <c r="E33" s="7">
        <f>E24-$C$32</f>
        <v>0.77410207829032629</v>
      </c>
    </row>
    <row r="34" spans="1:5" s="14" customFormat="1" ht="75.75" customHeight="1" x14ac:dyDescent="0.3">
      <c r="A34" s="15" t="s">
        <v>40</v>
      </c>
      <c r="B34" s="391"/>
      <c r="C34" s="391"/>
    </row>
    <row r="35" spans="1:5" s="19" customFormat="1" x14ac:dyDescent="0.3">
      <c r="A35" s="20" t="s">
        <v>54</v>
      </c>
      <c r="B35" s="20"/>
      <c r="C35" s="20"/>
      <c r="D35" s="20"/>
      <c r="E35" s="20"/>
    </row>
    <row r="36" spans="1:5" x14ac:dyDescent="0.3">
      <c r="A36" s="7" t="s">
        <v>42</v>
      </c>
      <c r="C36" s="4">
        <f>C8*$C29</f>
        <v>4.5979028262193991</v>
      </c>
      <c r="E36" s="4">
        <f>E8*$C29</f>
        <v>1.5494924584478484</v>
      </c>
    </row>
    <row r="37" spans="1:5" x14ac:dyDescent="0.3">
      <c r="A37" t="s">
        <v>50</v>
      </c>
      <c r="C37" s="4">
        <f>C36-C16</f>
        <v>0.1539028262193991</v>
      </c>
      <c r="E37" s="4">
        <f>E36-E16</f>
        <v>-8.5507541552151567E-2</v>
      </c>
    </row>
    <row r="38" spans="1:5" x14ac:dyDescent="0.3">
      <c r="A38" t="s">
        <v>51</v>
      </c>
      <c r="C38" s="23">
        <f>C37/C16</f>
        <v>3.4631599059270726E-2</v>
      </c>
      <c r="E38" s="23">
        <f>E37/E16</f>
        <v>-5.2298190551774655E-2</v>
      </c>
    </row>
    <row r="39" spans="1:5" x14ac:dyDescent="0.3">
      <c r="A39" t="s">
        <v>53</v>
      </c>
      <c r="B39">
        <f>AVERAGE(B37:E37)</f>
        <v>3.4197642333623768E-2</v>
      </c>
      <c r="C39" s="23">
        <f>AVERAGE(C38:E38)</f>
        <v>-8.8332957462519644E-3</v>
      </c>
      <c r="E39" s="4"/>
    </row>
    <row r="40" spans="1:5" x14ac:dyDescent="0.3">
      <c r="A40" t="s">
        <v>52</v>
      </c>
      <c r="B40">
        <f>STDEV(B37:E37)</f>
        <v>0.16928869453762874</v>
      </c>
      <c r="C40" s="23">
        <f>STDEV(C38:E38)</f>
        <v>6.146864372109008E-2</v>
      </c>
      <c r="E40" s="4"/>
    </row>
    <row r="41" spans="1:5" x14ac:dyDescent="0.3">
      <c r="C41" s="23"/>
      <c r="E41" s="4"/>
    </row>
    <row r="42" spans="1:5" x14ac:dyDescent="0.3">
      <c r="A42" s="7" t="s">
        <v>43</v>
      </c>
      <c r="C42" s="4">
        <f>MOD(C9-$C32,360)</f>
        <v>125.10046271241282</v>
      </c>
      <c r="E42" s="4">
        <f>MOD(E9-$C32,360)</f>
        <v>221.47410207829031</v>
      </c>
    </row>
    <row r="43" spans="1:5" x14ac:dyDescent="0.3">
      <c r="A43" t="s">
        <v>55</v>
      </c>
      <c r="C43" s="4">
        <f>C42-C17</f>
        <v>-0.46953728758717261</v>
      </c>
      <c r="E43" s="4">
        <f>E42-E17</f>
        <v>0.77410207829032629</v>
      </c>
    </row>
    <row r="44" spans="1:5" x14ac:dyDescent="0.3">
      <c r="A44" t="s">
        <v>56</v>
      </c>
      <c r="B44">
        <f>AVERAGE(B43:E43)</f>
        <v>0.15228239535157684</v>
      </c>
      <c r="C44" s="4"/>
      <c r="E44" s="4"/>
    </row>
    <row r="45" spans="1:5" x14ac:dyDescent="0.3">
      <c r="A45" t="s">
        <v>57</v>
      </c>
      <c r="B45">
        <f>STDEV(B43:E43)</f>
        <v>0.87938582896251738</v>
      </c>
      <c r="C45" s="4"/>
      <c r="E45" s="4"/>
    </row>
    <row r="46" spans="1:5" x14ac:dyDescent="0.3">
      <c r="C46" s="4"/>
      <c r="E46" s="4"/>
    </row>
    <row r="47" spans="1:5" x14ac:dyDescent="0.3">
      <c r="A47" t="s">
        <v>44</v>
      </c>
      <c r="B47" s="9">
        <f>-C36*SIN((C42)/180*PI())</f>
        <v>-3.7617515468031772</v>
      </c>
      <c r="C47" s="9">
        <f>C36*COS((C42)/180*PI())</f>
        <v>-2.6438486529073932</v>
      </c>
      <c r="D47" s="9">
        <f>-E36*SIN((E42)/180*PI())</f>
        <v>1.0262001114539006</v>
      </c>
      <c r="E47" s="9">
        <f>E36*COS((E42)/180*PI())</f>
        <v>-1.1609652062136744</v>
      </c>
    </row>
    <row r="48" spans="1:5" s="10" customFormat="1" x14ac:dyDescent="0.3">
      <c r="A48" t="s">
        <v>45</v>
      </c>
      <c r="B48" s="9">
        <f>B47-B18</f>
        <v>-0.14697773389391022</v>
      </c>
      <c r="C48" s="9">
        <f>C47-C18</f>
        <v>-5.8786510229697164E-2</v>
      </c>
      <c r="D48" s="9">
        <f>D47-D18</f>
        <v>-3.9980778808790696E-2</v>
      </c>
      <c r="E48" s="9">
        <f>E47-E18</f>
        <v>7.8584433469486958E-2</v>
      </c>
    </row>
    <row r="49" spans="1:5" x14ac:dyDescent="0.3">
      <c r="A49" t="s">
        <v>46</v>
      </c>
      <c r="B49">
        <f>B48^2</f>
        <v>2.1602454260589085E-2</v>
      </c>
      <c r="C49">
        <f>C48^2</f>
        <v>3.4558537849862891E-3</v>
      </c>
      <c r="D49">
        <f>D48^2</f>
        <v>1.5984626741574472E-3</v>
      </c>
      <c r="E49">
        <f>E48^2</f>
        <v>6.1755131837202219E-3</v>
      </c>
    </row>
    <row r="50" spans="1:5" s="10" customFormat="1" x14ac:dyDescent="0.3">
      <c r="A50" t="s">
        <v>47</v>
      </c>
      <c r="B50" s="9"/>
      <c r="C50" s="9">
        <f>SQRT(B49+C49)</f>
        <v>0.15829816185153692</v>
      </c>
      <c r="D50" s="9"/>
      <c r="E50" s="9">
        <f>SQRT(D49+E49)</f>
        <v>8.8170152874301341E-2</v>
      </c>
    </row>
    <row r="51" spans="1:5" s="10" customFormat="1" x14ac:dyDescent="0.3">
      <c r="A51" t="s">
        <v>48</v>
      </c>
      <c r="B51" s="9"/>
      <c r="C51" s="11">
        <f>C50/C36</f>
        <v>3.4428340013809455E-2</v>
      </c>
      <c r="E51" s="11">
        <f>E50/E36</f>
        <v>5.6902602135038984E-2</v>
      </c>
    </row>
    <row r="52" spans="1:5" s="10" customFormat="1" x14ac:dyDescent="0.3">
      <c r="A52"/>
      <c r="B52" s="9"/>
      <c r="C52" s="12"/>
      <c r="E52" s="11"/>
    </row>
    <row r="53" spans="1:5" s="10" customFormat="1" x14ac:dyDescent="0.3">
      <c r="A53" t="s">
        <v>89</v>
      </c>
      <c r="B53" s="9">
        <f>MEDIAN(B50:E50)</f>
        <v>0.12323415736291912</v>
      </c>
      <c r="C53" s="12"/>
      <c r="E53" s="11"/>
    </row>
    <row r="54" spans="1:5" s="10" customFormat="1" x14ac:dyDescent="0.3">
      <c r="A54" t="s">
        <v>81</v>
      </c>
      <c r="B54" s="9">
        <f>AVERAGE(B50:E50)</f>
        <v>0.12323415736291912</v>
      </c>
      <c r="C54" s="12"/>
      <c r="E54" s="11"/>
    </row>
    <row r="55" spans="1:5" s="10" customFormat="1" x14ac:dyDescent="0.3">
      <c r="A55" t="s">
        <v>82</v>
      </c>
      <c r="B55" s="9">
        <f>STDEV(B50:E50)</f>
        <v>4.9587990698914362E-2</v>
      </c>
      <c r="C55" s="12"/>
      <c r="E55" s="11"/>
    </row>
    <row r="56" spans="1:5" s="10" customFormat="1" x14ac:dyDescent="0.3">
      <c r="A56" t="s">
        <v>83</v>
      </c>
      <c r="B56" s="9">
        <f>COUNT(B50:E50)</f>
        <v>2</v>
      </c>
      <c r="C56" s="12"/>
      <c r="E56" s="11"/>
    </row>
    <row r="57" spans="1:5" s="10" customFormat="1" x14ac:dyDescent="0.3">
      <c r="A57"/>
      <c r="B57" s="9"/>
      <c r="C57" s="9"/>
    </row>
    <row r="58" spans="1:5" s="10" customFormat="1" x14ac:dyDescent="0.3">
      <c r="B58" s="7"/>
      <c r="C58" s="7"/>
      <c r="D58" s="7"/>
      <c r="E58" s="7"/>
    </row>
    <row r="59" spans="1:5" x14ac:dyDescent="0.3">
      <c r="A59" s="7"/>
    </row>
  </sheetData>
  <mergeCells count="5">
    <mergeCell ref="B19:C19"/>
    <mergeCell ref="D19:E19"/>
    <mergeCell ref="B34:C34"/>
    <mergeCell ref="B10:C10"/>
    <mergeCell ref="D10:E10"/>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pane xSplit="1" ySplit="2" topLeftCell="B30" activePane="bottomRight" state="frozenSplit"/>
      <selection pane="topRight"/>
      <selection pane="bottomLeft" activeCell="A3" sqref="A3"/>
      <selection pane="bottomRight" activeCell="C50" sqref="C50"/>
    </sheetView>
  </sheetViews>
  <sheetFormatPr defaultRowHeight="14.4" x14ac:dyDescent="0.3"/>
  <cols>
    <col min="1" max="1" width="25.5546875" customWidth="1"/>
    <col min="2" max="5" width="11.6640625" customWidth="1"/>
  </cols>
  <sheetData>
    <row r="1" spans="1:5" s="19" customFormat="1" x14ac:dyDescent="0.3">
      <c r="A1" s="20" t="s">
        <v>39</v>
      </c>
      <c r="B1" s="20"/>
      <c r="C1" s="20"/>
      <c r="D1" s="20"/>
      <c r="E1" s="20"/>
    </row>
    <row r="2" spans="1:5" s="13" customFormat="1" x14ac:dyDescent="0.3">
      <c r="B2" s="27"/>
      <c r="C2" s="27" t="s">
        <v>0</v>
      </c>
      <c r="E2" s="13" t="s">
        <v>3</v>
      </c>
    </row>
    <row r="3" spans="1:5" s="13" customFormat="1" x14ac:dyDescent="0.3">
      <c r="B3" s="27" t="s">
        <v>61</v>
      </c>
      <c r="C3" s="27" t="s">
        <v>60</v>
      </c>
    </row>
    <row r="4" spans="1:5" x14ac:dyDescent="0.3">
      <c r="A4" t="s">
        <v>1</v>
      </c>
      <c r="B4">
        <v>818.49599999999998</v>
      </c>
      <c r="C4">
        <f>960-470.348</f>
        <v>489.65199999999999</v>
      </c>
      <c r="D4">
        <v>492.96699999999998</v>
      </c>
      <c r="E4">
        <f>960-486.033</f>
        <v>473.96699999999998</v>
      </c>
    </row>
    <row r="5" spans="1:5" x14ac:dyDescent="0.3">
      <c r="A5" t="s">
        <v>2</v>
      </c>
      <c r="B5">
        <v>786.54399999999998</v>
      </c>
      <c r="C5">
        <f>960-442.251</f>
        <v>517.74900000000002</v>
      </c>
      <c r="D5">
        <v>500.601</v>
      </c>
      <c r="E5">
        <f>960-478.423</f>
        <v>481.577</v>
      </c>
    </row>
    <row r="6" spans="1:5" x14ac:dyDescent="0.3">
      <c r="A6" t="s">
        <v>4</v>
      </c>
      <c r="B6">
        <f>B5-B4</f>
        <v>-31.951999999999998</v>
      </c>
      <c r="C6">
        <f>C5-C4</f>
        <v>28.097000000000037</v>
      </c>
      <c r="D6">
        <f>D5-D4</f>
        <v>7.6340000000000146</v>
      </c>
      <c r="E6">
        <f>E5-E4</f>
        <v>7.6100000000000136</v>
      </c>
    </row>
    <row r="7" spans="1:5" x14ac:dyDescent="0.3">
      <c r="A7" t="s">
        <v>5</v>
      </c>
      <c r="B7">
        <f>B6^2</f>
        <v>1020.9303039999999</v>
      </c>
      <c r="C7">
        <f>C6^2</f>
        <v>789.44140900000207</v>
      </c>
      <c r="D7">
        <f>D6^2</f>
        <v>58.277956000000223</v>
      </c>
      <c r="E7">
        <f>E6^2</f>
        <v>57.912100000000208</v>
      </c>
    </row>
    <row r="8" spans="1:5" x14ac:dyDescent="0.3">
      <c r="A8" t="s">
        <v>6</v>
      </c>
      <c r="C8">
        <f>SQRT(SUM(B7:C7))</f>
        <v>42.548463109729376</v>
      </c>
      <c r="E8">
        <f>SQRT(SUM(D7:E7))</f>
        <v>10.779149131540969</v>
      </c>
    </row>
    <row r="9" spans="1:5" x14ac:dyDescent="0.3">
      <c r="A9" t="s">
        <v>7</v>
      </c>
      <c r="C9">
        <f>MOD(ATAN2(C6,B6)*180/PI()+270,360)</f>
        <v>221.32679070356986</v>
      </c>
      <c r="E9">
        <f>MOD(ATAN2(E6,D6)*180/PI()+270,360)</f>
        <v>315.09020582341651</v>
      </c>
    </row>
    <row r="10" spans="1:5" s="17" customFormat="1" ht="117" customHeight="1" x14ac:dyDescent="0.3">
      <c r="A10" s="16" t="s">
        <v>40</v>
      </c>
      <c r="B10" s="393" t="s">
        <v>144</v>
      </c>
      <c r="C10" s="393"/>
      <c r="D10" s="393" t="s">
        <v>144</v>
      </c>
      <c r="E10" s="393"/>
    </row>
    <row r="11" spans="1:5" s="19" customFormat="1" x14ac:dyDescent="0.3">
      <c r="A11" s="20" t="s">
        <v>37</v>
      </c>
      <c r="B11" s="20"/>
      <c r="C11" s="20"/>
      <c r="D11" s="20"/>
      <c r="E11" s="20"/>
    </row>
    <row r="12" spans="1:5" s="1" customFormat="1" x14ac:dyDescent="0.3">
      <c r="B12" s="1" t="s">
        <v>62</v>
      </c>
      <c r="C12" s="1" t="s">
        <v>63</v>
      </c>
    </row>
    <row r="13" spans="1:5" x14ac:dyDescent="0.3">
      <c r="A13" t="s">
        <v>18</v>
      </c>
    </row>
    <row r="14" spans="1:5" x14ac:dyDescent="0.3">
      <c r="A14" t="s">
        <v>17</v>
      </c>
    </row>
    <row r="15" spans="1:5" x14ac:dyDescent="0.3">
      <c r="A15" t="s">
        <v>14</v>
      </c>
    </row>
    <row r="16" spans="1:5" x14ac:dyDescent="0.3">
      <c r="A16" t="s">
        <v>13</v>
      </c>
      <c r="C16">
        <v>4.444</v>
      </c>
      <c r="E16">
        <v>1.635</v>
      </c>
    </row>
    <row r="17" spans="1:5" x14ac:dyDescent="0.3">
      <c r="A17" t="s">
        <v>7</v>
      </c>
      <c r="C17">
        <v>125.57</v>
      </c>
      <c r="E17">
        <v>220.7</v>
      </c>
    </row>
    <row r="18" spans="1:5" x14ac:dyDescent="0.3">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
      <c r="A19" s="15" t="s">
        <v>40</v>
      </c>
      <c r="B19" s="389"/>
      <c r="C19" s="389"/>
      <c r="D19" s="390"/>
      <c r="E19" s="390"/>
    </row>
    <row r="20" spans="1:5" s="19" customFormat="1" x14ac:dyDescent="0.3">
      <c r="A20" s="18" t="s">
        <v>38</v>
      </c>
    </row>
    <row r="21" spans="1:5" x14ac:dyDescent="0.3">
      <c r="A21" s="7" t="s">
        <v>65</v>
      </c>
      <c r="C21">
        <f>C16/C8</f>
        <v>0.10444560567415205</v>
      </c>
      <c r="E21">
        <f>E16/E8</f>
        <v>0.15168173109469385</v>
      </c>
    </row>
    <row r="22" spans="1:5" x14ac:dyDescent="0.3">
      <c r="A22" t="s">
        <v>34</v>
      </c>
      <c r="B22">
        <f>STDEV(B21:E21)</f>
        <v>3.3400984601843368E-2</v>
      </c>
      <c r="C22">
        <f>AVERAGE(B21:E21)</f>
        <v>0.12806366838442296</v>
      </c>
    </row>
    <row r="23" spans="1:5" x14ac:dyDescent="0.3">
      <c r="A23" t="s">
        <v>35</v>
      </c>
      <c r="C23">
        <f>C21-$C22</f>
        <v>-2.3618062710270907E-2</v>
      </c>
      <c r="E23">
        <f>E21-$C22</f>
        <v>2.3618062710270893E-2</v>
      </c>
    </row>
    <row r="24" spans="1:5" x14ac:dyDescent="0.3">
      <c r="A24" s="7" t="s">
        <v>64</v>
      </c>
      <c r="C24" s="29">
        <f>MOD(C9-C17,360)</f>
        <v>95.756790703569862</v>
      </c>
      <c r="E24">
        <f>MOD(E9-E17,360)</f>
        <v>94.390205823416522</v>
      </c>
    </row>
    <row r="25" spans="1:5" x14ac:dyDescent="0.3">
      <c r="A25" t="s">
        <v>36</v>
      </c>
      <c r="B25">
        <f>STDEV(B24:E24)</f>
        <v>0.966321435823432</v>
      </c>
      <c r="C25">
        <f>AVERAGE(B24:E24)</f>
        <v>95.073498263493192</v>
      </c>
    </row>
    <row r="26" spans="1:5" x14ac:dyDescent="0.3">
      <c r="A26" t="s">
        <v>35</v>
      </c>
      <c r="C26">
        <f>C24-$C25</f>
        <v>0.68329244007667</v>
      </c>
      <c r="E26">
        <f>E24-$C25</f>
        <v>-0.68329244007667</v>
      </c>
    </row>
    <row r="27" spans="1:5" x14ac:dyDescent="0.3">
      <c r="A27" t="s">
        <v>67</v>
      </c>
      <c r="C27">
        <f>SQRT(C16)</f>
        <v>2.1080796948882172</v>
      </c>
      <c r="E27">
        <f>SQRT(E16)</f>
        <v>1.2786711852544421</v>
      </c>
    </row>
    <row r="28" spans="1:5" x14ac:dyDescent="0.3">
      <c r="A28" t="s">
        <v>68</v>
      </c>
      <c r="C28">
        <f>C27*C21</f>
        <v>0.22017966054198151</v>
      </c>
      <c r="E28">
        <f>E27*E21</f>
        <v>0.19395105888029776</v>
      </c>
    </row>
    <row r="29" spans="1:5" x14ac:dyDescent="0.3">
      <c r="A29" t="s">
        <v>69</v>
      </c>
      <c r="C29" s="7">
        <f>SUM(B28:E28)/SUM(B27:E27)</f>
        <v>0.12227965211448767</v>
      </c>
    </row>
    <row r="30" spans="1:5" x14ac:dyDescent="0.3">
      <c r="A30" t="s">
        <v>72</v>
      </c>
      <c r="C30" s="7">
        <f>C21-$C$29</f>
        <v>-1.7834046440335621E-2</v>
      </c>
      <c r="E30" s="7">
        <f>E21-$C$29</f>
        <v>2.9402078980206178E-2</v>
      </c>
    </row>
    <row r="31" spans="1:5" x14ac:dyDescent="0.3">
      <c r="A31" t="s">
        <v>70</v>
      </c>
      <c r="C31">
        <f>C27*C24</f>
        <v>201.86294612985643</v>
      </c>
      <c r="E31">
        <f>E27*E24</f>
        <v>120.69403635663875</v>
      </c>
    </row>
    <row r="32" spans="1:5" x14ac:dyDescent="0.3">
      <c r="A32" t="s">
        <v>71</v>
      </c>
      <c r="C32" s="7">
        <f>SUM(B31:E31)/SUM(B27:E27)</f>
        <v>95.240835213987793</v>
      </c>
    </row>
    <row r="33" spans="1:5" x14ac:dyDescent="0.3">
      <c r="A33" t="s">
        <v>73</v>
      </c>
      <c r="C33" s="7">
        <f>C24-$C$32</f>
        <v>0.51595548958206905</v>
      </c>
      <c r="E33" s="7">
        <f>E24-$C$32</f>
        <v>-0.85062939057127096</v>
      </c>
    </row>
    <row r="34" spans="1:5" s="14" customFormat="1" ht="75.75" customHeight="1" x14ac:dyDescent="0.3">
      <c r="A34" s="15" t="s">
        <v>40</v>
      </c>
      <c r="B34" s="391"/>
      <c r="C34" s="391"/>
    </row>
    <row r="35" spans="1:5" s="19" customFormat="1" x14ac:dyDescent="0.3">
      <c r="A35" s="20" t="s">
        <v>54</v>
      </c>
      <c r="B35" s="20"/>
      <c r="C35" s="20"/>
      <c r="D35" s="20"/>
      <c r="E35" s="20"/>
    </row>
    <row r="36" spans="1:5" x14ac:dyDescent="0.3">
      <c r="A36" s="7" t="s">
        <v>42</v>
      </c>
      <c r="C36" s="4">
        <f>C8*$C29</f>
        <v>5.2028112670638205</v>
      </c>
      <c r="E36" s="4">
        <f>E8*$C29</f>
        <v>1.3180706058950116</v>
      </c>
    </row>
    <row r="37" spans="1:5" x14ac:dyDescent="0.3">
      <c r="A37" t="s">
        <v>50</v>
      </c>
      <c r="C37" s="4">
        <f>C36-C16</f>
        <v>0.75881126706382052</v>
      </c>
      <c r="E37" s="4">
        <f>E36-E16</f>
        <v>-0.31692939410498844</v>
      </c>
    </row>
    <row r="38" spans="1:5" x14ac:dyDescent="0.3">
      <c r="A38" t="s">
        <v>51</v>
      </c>
      <c r="C38" s="23">
        <f>C37/C16</f>
        <v>0.17074961005036465</v>
      </c>
      <c r="E38" s="23">
        <f>E37/E16</f>
        <v>-0.19384060801528344</v>
      </c>
    </row>
    <row r="39" spans="1:5" x14ac:dyDescent="0.3">
      <c r="A39" t="s">
        <v>53</v>
      </c>
      <c r="B39">
        <f>AVERAGE(B37:E37)</f>
        <v>0.22094093647941604</v>
      </c>
      <c r="C39" s="23">
        <f>AVERAGE(C38:E38)</f>
        <v>-1.1545498982459393E-2</v>
      </c>
      <c r="E39" s="4"/>
    </row>
    <row r="40" spans="1:5" x14ac:dyDescent="0.3">
      <c r="A40" t="s">
        <v>52</v>
      </c>
      <c r="B40">
        <f>STDEV(B37:E37)</f>
        <v>0.76066351631056495</v>
      </c>
      <c r="C40" s="23">
        <f>STDEV(C38:E38)</f>
        <v>0.25780421554850186</v>
      </c>
      <c r="E40" s="4"/>
    </row>
    <row r="41" spans="1:5" x14ac:dyDescent="0.3">
      <c r="C41" s="23"/>
      <c r="E41" s="4"/>
    </row>
    <row r="42" spans="1:5" x14ac:dyDescent="0.3">
      <c r="A42" s="7" t="s">
        <v>43</v>
      </c>
      <c r="C42" s="4">
        <f>MOD(C9-$C32,360)</f>
        <v>126.08595548958206</v>
      </c>
      <c r="E42" s="4">
        <f>MOD(E9-$C32,360)</f>
        <v>219.84937060942872</v>
      </c>
    </row>
    <row r="43" spans="1:5" x14ac:dyDescent="0.3">
      <c r="A43" t="s">
        <v>55</v>
      </c>
      <c r="C43" s="4">
        <f>C42-C17</f>
        <v>0.51595548958206905</v>
      </c>
      <c r="E43" s="4">
        <f>E42-E17</f>
        <v>-0.85062939057127096</v>
      </c>
    </row>
    <row r="44" spans="1:5" x14ac:dyDescent="0.3">
      <c r="A44" t="s">
        <v>56</v>
      </c>
      <c r="B44">
        <f>AVERAGE(B43:E43)</f>
        <v>-0.16733695049460096</v>
      </c>
      <c r="C44" s="4"/>
      <c r="E44" s="4"/>
    </row>
    <row r="45" spans="1:5" x14ac:dyDescent="0.3">
      <c r="A45" t="s">
        <v>57</v>
      </c>
      <c r="B45">
        <f>STDEV(B43:E43)</f>
        <v>0.96632143582343211</v>
      </c>
      <c r="C45" s="4"/>
      <c r="E45" s="4"/>
    </row>
    <row r="46" spans="1:5" x14ac:dyDescent="0.3">
      <c r="C46" s="4"/>
      <c r="E46" s="4"/>
    </row>
    <row r="47" spans="1:5" x14ac:dyDescent="0.3">
      <c r="A47" t="s">
        <v>44</v>
      </c>
      <c r="B47" s="9">
        <f>-C36*SIN((C42)/180*PI())</f>
        <v>-4.2045701641875999</v>
      </c>
      <c r="C47" s="9">
        <f>C36*COS((C42)/180*PI())</f>
        <v>-3.064446901988954</v>
      </c>
      <c r="D47" s="9">
        <f>-E36*SIN((E42)/180*PI())</f>
        <v>0.84458204770648027</v>
      </c>
      <c r="E47" s="9">
        <f>E36*COS((E42)/180*PI())</f>
        <v>-1.0119245460094204</v>
      </c>
    </row>
    <row r="48" spans="1:5" s="10" customFormat="1" x14ac:dyDescent="0.3">
      <c r="A48" t="s">
        <v>45</v>
      </c>
      <c r="B48" s="9">
        <f>B47-B18</f>
        <v>-0.58979635127833285</v>
      </c>
      <c r="C48" s="9">
        <f>C47-C18</f>
        <v>-0.4793847593112579</v>
      </c>
      <c r="D48" s="9">
        <f>D47-D18</f>
        <v>-0.22159884255621098</v>
      </c>
      <c r="E48" s="9">
        <f>E47-E18</f>
        <v>0.22762509367374095</v>
      </c>
    </row>
    <row r="49" spans="1:5" x14ac:dyDescent="0.3">
      <c r="A49" t="s">
        <v>46</v>
      </c>
      <c r="B49">
        <f>B48^2</f>
        <v>0.3478597359812346</v>
      </c>
      <c r="C49">
        <f>C48^2</f>
        <v>0.22980974745991267</v>
      </c>
      <c r="D49">
        <f>D48^2</f>
        <v>4.9106047022252387E-2</v>
      </c>
      <c r="E49">
        <f>E48^2</f>
        <v>5.1813183269979343E-2</v>
      </c>
    </row>
    <row r="50" spans="1:5" s="10" customFormat="1" x14ac:dyDescent="0.3">
      <c r="A50" t="s">
        <v>47</v>
      </c>
      <c r="B50" s="9"/>
      <c r="C50" s="9">
        <f>SQRT(B49+C49)</f>
        <v>0.76004571141553545</v>
      </c>
      <c r="D50" s="9"/>
      <c r="E50" s="9">
        <f>SQRT(D49+E49)</f>
        <v>0.31767787189578023</v>
      </c>
    </row>
    <row r="51" spans="1:5" s="10" customFormat="1" x14ac:dyDescent="0.3">
      <c r="A51" t="s">
        <v>48</v>
      </c>
      <c r="B51" s="9"/>
      <c r="C51" s="11">
        <f>C50/C36</f>
        <v>0.14608365985269792</v>
      </c>
      <c r="E51" s="11">
        <f>E50/E36</f>
        <v>0.24101734040269179</v>
      </c>
    </row>
    <row r="52" spans="1:5" s="10" customFormat="1" x14ac:dyDescent="0.3">
      <c r="A52"/>
      <c r="B52" s="9"/>
      <c r="C52" s="12"/>
      <c r="E52" s="11"/>
    </row>
    <row r="53" spans="1:5" s="10" customFormat="1" x14ac:dyDescent="0.3">
      <c r="A53" t="s">
        <v>89</v>
      </c>
      <c r="B53" s="9">
        <f>MEDIAN(B50:E50)</f>
        <v>0.53886179165565784</v>
      </c>
      <c r="C53" s="12"/>
      <c r="E53" s="11"/>
    </row>
    <row r="54" spans="1:5" s="10" customFormat="1" x14ac:dyDescent="0.3">
      <c r="A54" t="s">
        <v>81</v>
      </c>
      <c r="B54" s="9">
        <f>AVERAGE(B50:E50)</f>
        <v>0.53886179165565784</v>
      </c>
      <c r="C54" s="12"/>
      <c r="E54" s="11"/>
    </row>
    <row r="55" spans="1:5" s="10" customFormat="1" x14ac:dyDescent="0.3">
      <c r="A55" t="s">
        <v>82</v>
      </c>
      <c r="B55" s="9">
        <f>STDEV(B50:E50)</f>
        <v>0.31280129910326138</v>
      </c>
      <c r="C55" s="12"/>
      <c r="E55" s="11"/>
    </row>
    <row r="56" spans="1:5" s="10" customFormat="1" x14ac:dyDescent="0.3">
      <c r="A56" t="s">
        <v>83</v>
      </c>
      <c r="B56" s="9">
        <f>COUNT(B50:E50)</f>
        <v>2</v>
      </c>
      <c r="C56" s="12"/>
      <c r="E56" s="11"/>
    </row>
    <row r="57" spans="1:5" s="10" customFormat="1" x14ac:dyDescent="0.3">
      <c r="A57"/>
      <c r="B57" s="9"/>
      <c r="C57" s="9"/>
    </row>
    <row r="58" spans="1:5" s="10" customFormat="1" x14ac:dyDescent="0.3">
      <c r="B58" s="7"/>
      <c r="C58" s="7"/>
      <c r="D58" s="7"/>
      <c r="E58" s="7"/>
    </row>
    <row r="59" spans="1:5" x14ac:dyDescent="0.3">
      <c r="A59" s="7"/>
    </row>
  </sheetData>
  <mergeCells count="5">
    <mergeCell ref="B34:C34"/>
    <mergeCell ref="B10:C10"/>
    <mergeCell ref="D10:E10"/>
    <mergeCell ref="B19:C19"/>
    <mergeCell ref="D19:E19"/>
  </mergeCells>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workbookViewId="0">
      <pane xSplit="1" ySplit="2" topLeftCell="B3" activePane="bottomRight" state="frozenSplit"/>
      <selection pane="topRight"/>
      <selection pane="bottomLeft" activeCell="A3" sqref="A3"/>
      <selection pane="bottomRight" activeCell="G17" sqref="G17"/>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3" width="9.109375" style="29" customWidth="1"/>
    <col min="14" max="15" width="9.109375" style="49" customWidth="1"/>
    <col min="16" max="17" width="9.109375" style="29" customWidth="1"/>
  </cols>
  <sheetData>
    <row r="1" spans="1:21" s="19" customFormat="1" x14ac:dyDescent="0.3">
      <c r="A1" s="20" t="s">
        <v>39</v>
      </c>
      <c r="B1" s="20"/>
      <c r="C1" s="20"/>
      <c r="D1" s="47"/>
      <c r="E1" s="47"/>
      <c r="F1" s="20"/>
      <c r="G1" s="20"/>
      <c r="H1" s="47"/>
      <c r="I1" s="47"/>
      <c r="J1" s="54"/>
      <c r="K1" s="54"/>
      <c r="L1" s="54"/>
      <c r="M1" s="54"/>
      <c r="N1" s="47"/>
      <c r="O1" s="47"/>
      <c r="P1" s="54"/>
      <c r="Q1" s="54"/>
    </row>
    <row r="2" spans="1:21" s="13" customFormat="1" x14ac:dyDescent="0.3">
      <c r="B2" s="27"/>
      <c r="C2" s="27" t="s">
        <v>122</v>
      </c>
      <c r="D2" s="48"/>
      <c r="E2" s="48" t="s">
        <v>123</v>
      </c>
      <c r="G2" s="13" t="s">
        <v>126</v>
      </c>
      <c r="H2" s="48"/>
      <c r="I2" s="48" t="s">
        <v>125</v>
      </c>
      <c r="J2" s="55"/>
      <c r="K2" s="55" t="s">
        <v>129</v>
      </c>
      <c r="L2" s="55"/>
      <c r="M2" s="55" t="s">
        <v>95</v>
      </c>
      <c r="N2" s="48"/>
      <c r="O2" s="48" t="s">
        <v>98</v>
      </c>
      <c r="P2" s="55"/>
      <c r="Q2" s="55" t="s">
        <v>127</v>
      </c>
      <c r="R2" s="48"/>
      <c r="S2" s="48" t="s">
        <v>128</v>
      </c>
    </row>
    <row r="3" spans="1:21" s="13" customFormat="1" x14ac:dyDescent="0.3">
      <c r="B3" s="27" t="s">
        <v>61</v>
      </c>
      <c r="C3" s="27" t="s">
        <v>60</v>
      </c>
      <c r="D3" s="48"/>
      <c r="E3" s="48"/>
      <c r="H3" s="48"/>
      <c r="I3" s="48"/>
      <c r="J3" s="55"/>
      <c r="K3" s="55"/>
      <c r="L3" s="55"/>
      <c r="M3" s="55"/>
      <c r="N3" s="48"/>
      <c r="O3" s="48"/>
      <c r="P3" s="55"/>
      <c r="Q3" s="55"/>
      <c r="R3" s="48"/>
      <c r="S3" s="48"/>
    </row>
    <row r="4" spans="1:21" x14ac:dyDescent="0.3">
      <c r="A4" t="s">
        <v>1</v>
      </c>
      <c r="B4">
        <v>553</v>
      </c>
      <c r="C4">
        <v>496</v>
      </c>
      <c r="D4" s="49">
        <v>692</v>
      </c>
      <c r="E4" s="49">
        <v>116</v>
      </c>
      <c r="F4">
        <v>516</v>
      </c>
      <c r="G4">
        <v>540</v>
      </c>
      <c r="H4" s="49">
        <v>470</v>
      </c>
      <c r="I4" s="49">
        <v>191</v>
      </c>
      <c r="J4" s="29">
        <v>647</v>
      </c>
      <c r="K4" s="29">
        <v>531</v>
      </c>
      <c r="L4" s="29">
        <v>662</v>
      </c>
      <c r="M4" s="29">
        <v>570</v>
      </c>
      <c r="N4" s="49">
        <v>633</v>
      </c>
      <c r="O4" s="49">
        <v>417</v>
      </c>
      <c r="P4" s="29">
        <v>530</v>
      </c>
      <c r="Q4" s="29">
        <v>448</v>
      </c>
      <c r="R4" s="49">
        <v>549</v>
      </c>
      <c r="S4" s="49">
        <v>176</v>
      </c>
    </row>
    <row r="5" spans="1:21" x14ac:dyDescent="0.3">
      <c r="A5" t="s">
        <v>2</v>
      </c>
      <c r="B5">
        <v>662</v>
      </c>
      <c r="C5">
        <v>552</v>
      </c>
      <c r="D5" s="49">
        <v>693</v>
      </c>
      <c r="E5" s="49">
        <v>780</v>
      </c>
      <c r="F5">
        <v>525</v>
      </c>
      <c r="G5">
        <v>579</v>
      </c>
      <c r="H5" s="49">
        <v>474</v>
      </c>
      <c r="I5" s="49">
        <v>813</v>
      </c>
      <c r="J5" s="29">
        <v>656</v>
      </c>
      <c r="K5" s="29">
        <v>532</v>
      </c>
      <c r="L5" s="29">
        <v>642</v>
      </c>
      <c r="M5" s="29">
        <v>574</v>
      </c>
      <c r="N5" s="49">
        <v>634</v>
      </c>
      <c r="O5" s="49">
        <v>739</v>
      </c>
      <c r="P5" s="29">
        <v>564</v>
      </c>
      <c r="Q5" s="29">
        <v>483</v>
      </c>
      <c r="R5" s="49">
        <v>548</v>
      </c>
      <c r="S5" s="49">
        <v>770</v>
      </c>
    </row>
    <row r="6" spans="1:21" x14ac:dyDescent="0.3">
      <c r="A6" t="s">
        <v>4</v>
      </c>
      <c r="B6">
        <f t="shared" ref="B6:Q6" si="0">B5-B4</f>
        <v>109</v>
      </c>
      <c r="C6">
        <f t="shared" si="0"/>
        <v>56</v>
      </c>
      <c r="D6" s="49">
        <f>D5-D4</f>
        <v>1</v>
      </c>
      <c r="E6" s="49">
        <f>E5-E4</f>
        <v>664</v>
      </c>
      <c r="F6">
        <f t="shared" si="0"/>
        <v>9</v>
      </c>
      <c r="G6">
        <f t="shared" si="0"/>
        <v>39</v>
      </c>
      <c r="H6" s="49">
        <f t="shared" si="0"/>
        <v>4</v>
      </c>
      <c r="I6" s="49">
        <f t="shared" si="0"/>
        <v>622</v>
      </c>
      <c r="J6">
        <f t="shared" ref="J6:O6" si="1">J5-J4</f>
        <v>9</v>
      </c>
      <c r="K6">
        <f t="shared" si="1"/>
        <v>1</v>
      </c>
      <c r="L6">
        <f t="shared" si="1"/>
        <v>-20</v>
      </c>
      <c r="M6">
        <f t="shared" si="1"/>
        <v>4</v>
      </c>
      <c r="N6" s="49">
        <f t="shared" si="1"/>
        <v>1</v>
      </c>
      <c r="O6" s="49">
        <f t="shared" si="1"/>
        <v>322</v>
      </c>
      <c r="P6" s="29">
        <f t="shared" si="0"/>
        <v>34</v>
      </c>
      <c r="Q6" s="29">
        <f t="shared" si="0"/>
        <v>35</v>
      </c>
      <c r="R6" s="49">
        <f>R5-R4</f>
        <v>-1</v>
      </c>
      <c r="S6" s="49">
        <f>S5-S4</f>
        <v>594</v>
      </c>
      <c r="T6" s="29"/>
      <c r="U6" s="29"/>
    </row>
    <row r="7" spans="1:21" x14ac:dyDescent="0.3">
      <c r="A7" t="s">
        <v>5</v>
      </c>
      <c r="B7">
        <f t="shared" ref="B7:Q7" si="2">B6^2</f>
        <v>11881</v>
      </c>
      <c r="C7">
        <f t="shared" si="2"/>
        <v>3136</v>
      </c>
      <c r="D7" s="49">
        <f>D6^2</f>
        <v>1</v>
      </c>
      <c r="E7" s="49">
        <f>E6^2</f>
        <v>440896</v>
      </c>
      <c r="F7">
        <f t="shared" si="2"/>
        <v>81</v>
      </c>
      <c r="G7">
        <f t="shared" si="2"/>
        <v>1521</v>
      </c>
      <c r="H7" s="49">
        <f t="shared" si="2"/>
        <v>16</v>
      </c>
      <c r="I7" s="49">
        <f t="shared" si="2"/>
        <v>386884</v>
      </c>
      <c r="J7">
        <f t="shared" ref="J7:O7" si="3">J6^2</f>
        <v>81</v>
      </c>
      <c r="K7">
        <f t="shared" si="3"/>
        <v>1</v>
      </c>
      <c r="L7">
        <f t="shared" si="3"/>
        <v>400</v>
      </c>
      <c r="M7">
        <f t="shared" si="3"/>
        <v>16</v>
      </c>
      <c r="N7" s="49">
        <f t="shared" si="3"/>
        <v>1</v>
      </c>
      <c r="O7" s="49">
        <f t="shared" si="3"/>
        <v>103684</v>
      </c>
      <c r="P7" s="29">
        <f t="shared" si="2"/>
        <v>1156</v>
      </c>
      <c r="Q7" s="29">
        <f t="shared" si="2"/>
        <v>1225</v>
      </c>
      <c r="R7" s="49">
        <f>R6^2</f>
        <v>1</v>
      </c>
      <c r="S7" s="49">
        <f>S6^2</f>
        <v>352836</v>
      </c>
      <c r="T7" s="29"/>
      <c r="U7" s="29"/>
    </row>
    <row r="8" spans="1:21" x14ac:dyDescent="0.3">
      <c r="A8" t="s">
        <v>6</v>
      </c>
      <c r="C8">
        <f>SQRT(SUM(B7:C7))</f>
        <v>122.54386969571347</v>
      </c>
      <c r="E8" s="49">
        <f>SQRT(SUM(D7:E7))</f>
        <v>664.00075301162121</v>
      </c>
      <c r="G8">
        <f>SQRT(SUM(F7:G7))</f>
        <v>40.024992192379003</v>
      </c>
      <c r="I8" s="49">
        <f>SQRT(SUM(H7:I7))</f>
        <v>622.0128616033594</v>
      </c>
      <c r="J8"/>
      <c r="K8">
        <f>SQRT(SUM(J7:K7))</f>
        <v>9.0553851381374173</v>
      </c>
      <c r="L8"/>
      <c r="M8">
        <f>SQRT(SUM(L7:M7))</f>
        <v>20.396078054371138</v>
      </c>
      <c r="O8" s="49">
        <f>SQRT(SUM(N7:O7))</f>
        <v>322.001552791287</v>
      </c>
      <c r="Q8" s="29">
        <f>SQRT(SUM(P7:Q7))</f>
        <v>48.795491595023407</v>
      </c>
      <c r="R8" s="49"/>
      <c r="S8" s="49">
        <f>SQRT(SUM(R7:S7))</f>
        <v>594.00084175024529</v>
      </c>
      <c r="T8" s="29"/>
      <c r="U8" s="29"/>
    </row>
    <row r="9" spans="1:21" x14ac:dyDescent="0.3">
      <c r="A9" t="s">
        <v>7</v>
      </c>
      <c r="C9">
        <f>MOD(ATAN2(C6,B6)*180/PI()+270,360)</f>
        <v>332.8076478356964</v>
      </c>
      <c r="E9" s="49">
        <f>MOD(ATAN2(E6,D6)*180/PI()+270,360)</f>
        <v>270.0862887593305</v>
      </c>
      <c r="G9">
        <f>MOD(ATAN2(G6,F6)*180/PI()+270,360)</f>
        <v>282.99461679191648</v>
      </c>
      <c r="I9" s="49">
        <f>MOD(ATAN2(I6,H6)*180/PI()+270,360)</f>
        <v>270.36845652533771</v>
      </c>
      <c r="J9"/>
      <c r="K9">
        <f>MOD(ATAN2(K6,J6)*180/PI()+270,360)</f>
        <v>353.65980825409008</v>
      </c>
      <c r="L9"/>
      <c r="M9">
        <f>MOD(ATAN2(M6,L6)*180/PI()+270,360)</f>
        <v>191.30993247402023</v>
      </c>
      <c r="O9" s="49">
        <f>MOD(ATAN2(O6,N6)*180/PI()+270,360)</f>
        <v>270.17793663141038</v>
      </c>
      <c r="Q9" s="29">
        <f>MOD(ATAN2(Q6,P6)*180/PI()+270,360)</f>
        <v>314.16968451374203</v>
      </c>
      <c r="R9" s="49"/>
      <c r="S9" s="49">
        <f>MOD(ATAN2(S6,R6)*180/PI()+270,360)</f>
        <v>269.903542549858</v>
      </c>
      <c r="T9" s="29"/>
      <c r="U9" s="29"/>
    </row>
    <row r="10" spans="1:21" s="17" customFormat="1" ht="117" customHeight="1" x14ac:dyDescent="0.3">
      <c r="A10" s="16" t="s">
        <v>40</v>
      </c>
      <c r="B10" s="393" t="s">
        <v>130</v>
      </c>
      <c r="C10" s="393"/>
      <c r="D10" s="394" t="s">
        <v>124</v>
      </c>
      <c r="E10" s="394"/>
      <c r="F10" s="393" t="s">
        <v>130</v>
      </c>
      <c r="G10" s="393"/>
      <c r="H10" s="394" t="s">
        <v>124</v>
      </c>
      <c r="I10" s="394"/>
      <c r="J10" s="399" t="s">
        <v>142</v>
      </c>
      <c r="K10" s="399"/>
      <c r="L10" s="390"/>
      <c r="M10" s="390"/>
      <c r="N10" s="51"/>
      <c r="O10" s="51"/>
      <c r="P10" s="389"/>
      <c r="Q10" s="389"/>
      <c r="R10" s="398"/>
      <c r="S10" s="398"/>
    </row>
    <row r="11" spans="1:21" s="19" customFormat="1" x14ac:dyDescent="0.3">
      <c r="A11" s="20" t="s">
        <v>37</v>
      </c>
      <c r="B11" s="20"/>
      <c r="C11" s="20"/>
      <c r="D11" s="47"/>
      <c r="E11" s="47"/>
      <c r="F11" s="20"/>
      <c r="G11" s="20"/>
      <c r="H11" s="47"/>
      <c r="I11" s="47"/>
      <c r="J11" s="54"/>
      <c r="K11" s="54"/>
      <c r="L11" s="54"/>
      <c r="M11" s="54"/>
      <c r="N11" s="47"/>
      <c r="O11" s="47"/>
      <c r="P11" s="54"/>
      <c r="Q11" s="54"/>
    </row>
    <row r="12" spans="1:21" s="1" customFormat="1" x14ac:dyDescent="0.3">
      <c r="B12" s="1" t="s">
        <v>62</v>
      </c>
      <c r="C12" s="1" t="s">
        <v>63</v>
      </c>
      <c r="D12" s="50"/>
      <c r="E12" s="50"/>
      <c r="H12" s="50"/>
      <c r="I12" s="50"/>
      <c r="J12" s="56"/>
      <c r="K12" s="56"/>
      <c r="L12" s="56"/>
      <c r="M12" s="56"/>
      <c r="N12" s="50"/>
      <c r="O12" s="50"/>
      <c r="P12" s="56"/>
      <c r="Q12" s="56"/>
    </row>
    <row r="13" spans="1:21" x14ac:dyDescent="0.3">
      <c r="A13" t="s">
        <v>18</v>
      </c>
    </row>
    <row r="14" spans="1:21" x14ac:dyDescent="0.3">
      <c r="A14" t="s">
        <v>17</v>
      </c>
    </row>
    <row r="15" spans="1:21" x14ac:dyDescent="0.3">
      <c r="A15" t="s">
        <v>14</v>
      </c>
    </row>
    <row r="16" spans="1:21" x14ac:dyDescent="0.3">
      <c r="A16" t="s">
        <v>13</v>
      </c>
      <c r="C16">
        <v>14.4</v>
      </c>
      <c r="E16" s="53">
        <f>5*15*COS((31+36/60)*PI()/180)</f>
        <v>63.879520060728574</v>
      </c>
      <c r="G16">
        <v>4.6449999999999996</v>
      </c>
      <c r="H16" s="53"/>
      <c r="I16" s="53">
        <f>5*15*COS((31+36/60)*PI()/180)</f>
        <v>63.879520060728574</v>
      </c>
      <c r="K16" s="29">
        <v>1.127</v>
      </c>
      <c r="M16" s="29">
        <v>2.3370000000000002</v>
      </c>
      <c r="N16" s="53"/>
      <c r="O16" s="53">
        <f>5*15*COS((31+36/60)*PI()/180)</f>
        <v>63.879520060728574</v>
      </c>
      <c r="Q16" s="29">
        <v>5.5309999999999997</v>
      </c>
      <c r="R16" s="53"/>
      <c r="S16" s="53">
        <f>5*15*COS((2+30/60)*PI()/180)</f>
        <v>74.928616618639339</v>
      </c>
      <c r="T16" s="29"/>
      <c r="U16" s="29"/>
    </row>
    <row r="17" spans="1:21" x14ac:dyDescent="0.3">
      <c r="A17" t="s">
        <v>7</v>
      </c>
      <c r="C17">
        <v>152</v>
      </c>
      <c r="E17" s="49">
        <v>90</v>
      </c>
      <c r="G17">
        <v>103.69</v>
      </c>
      <c r="I17" s="49">
        <v>90</v>
      </c>
      <c r="K17" s="29">
        <v>194.5</v>
      </c>
      <c r="M17" s="29">
        <v>7.76</v>
      </c>
      <c r="O17" s="49">
        <v>90</v>
      </c>
      <c r="Q17" s="29">
        <v>133.07</v>
      </c>
      <c r="R17" s="49"/>
      <c r="S17" s="49">
        <v>90</v>
      </c>
      <c r="T17" s="29"/>
      <c r="U17" s="29"/>
    </row>
    <row r="18" spans="1:21" x14ac:dyDescent="0.3">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0.28217826456935513</v>
      </c>
      <c r="K18" s="9">
        <f>K16*COS((K17)/180*PI())</f>
        <v>-1.0911023907061275</v>
      </c>
      <c r="L18" s="9">
        <f>-M16*SIN((M17)/180*PI())</f>
        <v>-0.31555077704462053</v>
      </c>
      <c r="M18" s="9">
        <f>M16*COS((M17)/180*PI())</f>
        <v>2.3155985634618399</v>
      </c>
      <c r="N18" s="9">
        <f>-O16*SIN((O17)/180*PI())</f>
        <v>-63.879520060728574</v>
      </c>
      <c r="O18" s="9">
        <f>O16*COS((O17)/180*PI())</f>
        <v>3.9130947651352902E-15</v>
      </c>
      <c r="P18" s="9">
        <f>-Q16*SIN((Q17)/180*PI())</f>
        <v>-4.0405057761191374</v>
      </c>
      <c r="Q18" s="9">
        <f>Q16*COS((Q17)/180*PI())</f>
        <v>-3.7770721562008696</v>
      </c>
      <c r="R18" s="9">
        <f>-S16*SIN((S17)/180*PI())</f>
        <v>-74.928616618639339</v>
      </c>
      <c r="S18" s="9">
        <f>S16*COS((S17)/180*PI())</f>
        <v>4.5899339439383164E-15</v>
      </c>
      <c r="T18" s="9"/>
      <c r="U18" s="9"/>
    </row>
    <row r="19" spans="1:21" s="14" customFormat="1" ht="69" customHeight="1" x14ac:dyDescent="0.3">
      <c r="A19" s="15" t="s">
        <v>40</v>
      </c>
      <c r="B19" s="389"/>
      <c r="C19" s="389"/>
      <c r="D19" s="51"/>
      <c r="E19" s="51"/>
      <c r="F19" s="390"/>
      <c r="G19" s="390"/>
      <c r="H19" s="51"/>
      <c r="I19" s="51"/>
      <c r="J19" s="21"/>
      <c r="K19" s="21"/>
      <c r="L19" s="21"/>
      <c r="M19" s="21"/>
      <c r="N19" s="51"/>
      <c r="O19" s="51"/>
      <c r="P19" s="21"/>
      <c r="Q19" s="21"/>
    </row>
    <row r="20" spans="1:21" s="19" customFormat="1" x14ac:dyDescent="0.3">
      <c r="A20" s="18" t="s">
        <v>38</v>
      </c>
      <c r="D20" s="47"/>
      <c r="E20" s="47"/>
      <c r="H20" s="47"/>
      <c r="I20" s="47"/>
      <c r="J20" s="54"/>
      <c r="K20" s="54"/>
      <c r="L20" s="54"/>
      <c r="M20" s="54"/>
      <c r="N20" s="47"/>
      <c r="O20" s="47"/>
      <c r="P20" s="54"/>
      <c r="Q20" s="54"/>
    </row>
    <row r="21" spans="1:21" x14ac:dyDescent="0.3">
      <c r="A21" s="7" t="s">
        <v>65</v>
      </c>
      <c r="C21">
        <f>C16/C8</f>
        <v>0.11750893811135871</v>
      </c>
      <c r="E21">
        <f>E16/E8</f>
        <v>9.6203987376518182E-2</v>
      </c>
      <c r="G21">
        <f>G16/G8</f>
        <v>0.11605248984619253</v>
      </c>
      <c r="I21">
        <f>I16/I8</f>
        <v>0.10269806945159729</v>
      </c>
      <c r="J21"/>
      <c r="K21">
        <f>K16/K8</f>
        <v>0.12445632988635205</v>
      </c>
      <c r="L21"/>
      <c r="M21">
        <f>M16/M8</f>
        <v>0.11458085195448403</v>
      </c>
      <c r="N21"/>
      <c r="O21">
        <f>O16/O8</f>
        <v>0.19838264600585206</v>
      </c>
      <c r="Q21" s="29">
        <f>Q16/Q8</f>
        <v>0.11335063587235382</v>
      </c>
      <c r="R21" s="49"/>
      <c r="S21">
        <f>S16/S8</f>
        <v>0.12614227346523521</v>
      </c>
      <c r="U21" s="29"/>
    </row>
    <row r="22" spans="1:21" x14ac:dyDescent="0.3">
      <c r="A22" t="s">
        <v>132</v>
      </c>
      <c r="B22">
        <f>STDEV(C21,G21,K21,M21,Q21)</f>
        <v>4.3515391300222375E-3</v>
      </c>
      <c r="C22">
        <f>AVERAGE(C21,G21,K21,M21,Q21)</f>
        <v>0.11718984913414823</v>
      </c>
      <c r="J22">
        <f>STDEV(J21:M21)</f>
        <v>6.9830174130819794E-3</v>
      </c>
      <c r="K22">
        <f>AVERAGE(J21:M21)</f>
        <v>0.11951859092041804</v>
      </c>
      <c r="L22">
        <f>STDEV(L21:O21)</f>
        <v>5.9256816849320895E-2</v>
      </c>
      <c r="M22">
        <f>AVERAGE(L21:O21)</f>
        <v>0.15648174898016803</v>
      </c>
      <c r="R22" s="49"/>
      <c r="S22" s="49"/>
      <c r="U22" s="29"/>
    </row>
    <row r="23" spans="1:21" x14ac:dyDescent="0.3">
      <c r="A23" t="s">
        <v>35</v>
      </c>
      <c r="C23">
        <f>C21-$C22</f>
        <v>3.1908897721047436E-4</v>
      </c>
      <c r="E23">
        <f>E21-$C22</f>
        <v>-2.098586175763005E-2</v>
      </c>
      <c r="G23">
        <f>G21-$C22</f>
        <v>-1.1373592879557054E-3</v>
      </c>
      <c r="I23">
        <f>I21-$C22</f>
        <v>-1.4491779682550943E-2</v>
      </c>
      <c r="J23"/>
      <c r="K23">
        <f>K21-$C22</f>
        <v>7.2664807522038188E-3</v>
      </c>
      <c r="L23"/>
      <c r="M23">
        <f>M21-$C22</f>
        <v>-2.608997179664202E-3</v>
      </c>
      <c r="O23">
        <f>O21-$C22</f>
        <v>8.1192796871703832E-2</v>
      </c>
      <c r="Q23">
        <f>Q21-$C22</f>
        <v>-3.8392132617944136E-3</v>
      </c>
      <c r="R23" s="49"/>
      <c r="S23">
        <f>S21-$C22</f>
        <v>8.9524243310869778E-3</v>
      </c>
    </row>
    <row r="24" spans="1:21" x14ac:dyDescent="0.3">
      <c r="A24" s="7" t="s">
        <v>64</v>
      </c>
      <c r="C24" s="29">
        <f>MOD(C9-C17,360)</f>
        <v>180.8076478356964</v>
      </c>
      <c r="E24" s="29">
        <f>MOD(E9-E17,360)</f>
        <v>180.0862887593305</v>
      </c>
      <c r="G24">
        <f>MOD(G9-G17,360)</f>
        <v>179.30461679191649</v>
      </c>
      <c r="I24" s="29">
        <f>MOD(I9-I17,360)</f>
        <v>180.36845652533771</v>
      </c>
      <c r="J24"/>
      <c r="K24">
        <f>MOD(K9-K17,360)</f>
        <v>159.15980825409008</v>
      </c>
      <c r="L24"/>
      <c r="M24">
        <f>MOD(M9-M17,360)</f>
        <v>183.54993247402024</v>
      </c>
      <c r="N24" s="29"/>
      <c r="O24" s="29">
        <f>MOD(O9-O17,360)</f>
        <v>180.17793663141038</v>
      </c>
      <c r="Q24" s="29">
        <f>MOD(Q9-Q17,360)</f>
        <v>181.09968451374203</v>
      </c>
      <c r="R24" s="49"/>
      <c r="S24" s="29">
        <f>MOD(S9-S17,360)</f>
        <v>179.903542549858</v>
      </c>
      <c r="U24" s="29"/>
    </row>
    <row r="25" spans="1:21" x14ac:dyDescent="0.3">
      <c r="A25" t="s">
        <v>131</v>
      </c>
      <c r="B25">
        <f>STDEV(E24,I24,O24,S24)</f>
        <v>0.19346599707188555</v>
      </c>
      <c r="C25">
        <f>AVERAGE(E24,I24,O24,S24)</f>
        <v>180.13405611648415</v>
      </c>
      <c r="J25"/>
      <c r="K25"/>
      <c r="L25"/>
      <c r="M25"/>
      <c r="R25" s="49"/>
      <c r="S25" s="49"/>
      <c r="U25" s="29"/>
    </row>
    <row r="26" spans="1:21" x14ac:dyDescent="0.3">
      <c r="A26" t="s">
        <v>35</v>
      </c>
      <c r="C26">
        <f>C24-$C25</f>
        <v>0.67359171921225425</v>
      </c>
      <c r="E26" s="49">
        <f>E24-$C25</f>
        <v>-4.7767357153645662E-2</v>
      </c>
      <c r="G26">
        <f>G24-$C25</f>
        <v>-0.82943932456765879</v>
      </c>
      <c r="I26" s="49">
        <f>I24-$C25</f>
        <v>0.23440040885355984</v>
      </c>
      <c r="J26"/>
      <c r="K26">
        <f>K24-$C25</f>
        <v>-20.974247862394066</v>
      </c>
      <c r="L26"/>
      <c r="M26">
        <f>M24-$C25</f>
        <v>3.4158763575360922</v>
      </c>
      <c r="O26" s="49">
        <f>O24-$C25</f>
        <v>4.3880514926229353E-2</v>
      </c>
      <c r="Q26" s="29">
        <f>Q24-$C25</f>
        <v>0.96562839725788763</v>
      </c>
      <c r="R26" s="49"/>
      <c r="S26" s="49">
        <f>S24-$C25</f>
        <v>-0.23051356662614353</v>
      </c>
      <c r="U26" s="29"/>
    </row>
    <row r="27" spans="1:21" x14ac:dyDescent="0.3">
      <c r="A27" t="s">
        <v>67</v>
      </c>
      <c r="C27">
        <f>SQRT(C16)</f>
        <v>3.7947331922020551</v>
      </c>
      <c r="E27" s="49">
        <f>SQRT(E16)</f>
        <v>7.9924664566533261</v>
      </c>
      <c r="G27">
        <f>SQRT(G16)</f>
        <v>2.1552262062252305</v>
      </c>
      <c r="I27" s="49">
        <f>SQRT(I16)</f>
        <v>7.9924664566533261</v>
      </c>
      <c r="J27"/>
      <c r="K27">
        <f>SQRT(K16)</f>
        <v>1.0616025621672172</v>
      </c>
      <c r="L27"/>
      <c r="M27">
        <f>SQRT(M16)</f>
        <v>1.5287249589118379</v>
      </c>
      <c r="O27" s="49">
        <f>SQRT(O16)</f>
        <v>7.9924664566533261</v>
      </c>
      <c r="Q27" s="29">
        <f>SQRT(Q16)</f>
        <v>2.3518078152774304</v>
      </c>
      <c r="R27" s="49"/>
      <c r="S27" s="49">
        <f>SQRT(S16)</f>
        <v>8.6561317352868041</v>
      </c>
      <c r="U27" s="29"/>
    </row>
    <row r="28" spans="1:21" x14ac:dyDescent="0.3">
      <c r="A28" t="s">
        <v>68</v>
      </c>
      <c r="C28">
        <f>C27*C21</f>
        <v>0.44591506783158996</v>
      </c>
      <c r="E28">
        <f>E27*E21</f>
        <v>0.76890714210312161</v>
      </c>
      <c r="G28">
        <f>G27*G21</f>
        <v>0.2501193674142016</v>
      </c>
      <c r="I28">
        <f>I27*I21</f>
        <v>0.820810875254945</v>
      </c>
      <c r="J28"/>
      <c r="K28">
        <f>K27*K21</f>
        <v>0.13212315868527974</v>
      </c>
      <c r="L28"/>
      <c r="M28">
        <f>M27*M21</f>
        <v>0.17516260819620197</v>
      </c>
      <c r="N28"/>
      <c r="O28">
        <f>O27*O21</f>
        <v>1.5855666437839036</v>
      </c>
      <c r="Q28" s="29">
        <f>Q27*Q21</f>
        <v>0.26657891131126799</v>
      </c>
      <c r="R28" s="49"/>
      <c r="S28">
        <f>S27*S21</f>
        <v>1.091904136503649</v>
      </c>
      <c r="U28" s="29"/>
    </row>
    <row r="29" spans="1:21" x14ac:dyDescent="0.3">
      <c r="A29" t="s">
        <v>69</v>
      </c>
      <c r="C29" s="7">
        <f>SUM(C28,G28,M28,Q28)/SUM(C27,G27,M27,Q27)</f>
        <v>0.11573947008702241</v>
      </c>
      <c r="G29" s="7">
        <f>SUM(F28:I28)/SUM(F27:I27)</f>
        <v>0.10553435921317704</v>
      </c>
      <c r="J29"/>
      <c r="K29" s="7">
        <f>SUM(J28:M28)/SUM(J27:M27)</f>
        <v>0.11862815199271612</v>
      </c>
      <c r="L29"/>
      <c r="M29" s="7">
        <f>SUM(L28:O28)/SUM(L27:O27)</f>
        <v>0.18492740825498791</v>
      </c>
      <c r="R29" s="49"/>
      <c r="S29" s="49"/>
      <c r="U29" s="29"/>
    </row>
    <row r="30" spans="1:21" x14ac:dyDescent="0.3">
      <c r="A30" t="s">
        <v>72</v>
      </c>
      <c r="C30" s="7">
        <f>C21-$C$29</f>
        <v>1.7694680243362931E-3</v>
      </c>
      <c r="E30" s="52">
        <f>E21-$C$29</f>
        <v>-1.9535482710504232E-2</v>
      </c>
      <c r="G30" s="7">
        <f>G21-$C$29</f>
        <v>3.1301975917011338E-4</v>
      </c>
      <c r="I30" s="7">
        <f>I21-$C$29</f>
        <v>-1.3041400635425124E-2</v>
      </c>
      <c r="J30"/>
      <c r="K30" s="7">
        <f>K21-$C$29</f>
        <v>8.7168597993296376E-3</v>
      </c>
      <c r="L30"/>
      <c r="M30" s="7">
        <f>M21-$C$29</f>
        <v>-1.1586181325383832E-3</v>
      </c>
      <c r="N30" s="52"/>
      <c r="O30" s="7">
        <f>O21-$C$29</f>
        <v>8.2643175918829651E-2</v>
      </c>
      <c r="Q30" s="7">
        <f>Q21-$C$29</f>
        <v>-2.3888342146685948E-3</v>
      </c>
      <c r="R30" s="49"/>
      <c r="S30" s="7">
        <f>S21-$C$29</f>
        <v>1.0402803378212797E-2</v>
      </c>
      <c r="U30" s="7"/>
    </row>
    <row r="31" spans="1:21" x14ac:dyDescent="0.3">
      <c r="A31" t="s">
        <v>119</v>
      </c>
      <c r="C31">
        <f>C27*C24</f>
        <v>686.11678264609725</v>
      </c>
      <c r="E31" s="49">
        <f>E27*E24</f>
        <v>1439.3336222121341</v>
      </c>
      <c r="G31">
        <f>G27*G24</f>
        <v>386.44200900711093</v>
      </c>
      <c r="I31" s="49">
        <f>I27*I24</f>
        <v>1441.5888386170955</v>
      </c>
      <c r="J31"/>
      <c r="K31">
        <f>K27*K24</f>
        <v>168.96446023658504</v>
      </c>
      <c r="L31"/>
      <c r="M31">
        <f>M27*M24</f>
        <v>280.59736297961723</v>
      </c>
      <c r="O31" s="49">
        <f>O27*O24</f>
        <v>1440.0661147555561</v>
      </c>
      <c r="Q31" s="29">
        <f>Q27*Q24</f>
        <v>425.91165338369558</v>
      </c>
      <c r="R31" s="49"/>
      <c r="S31" s="49">
        <f>S27*S24</f>
        <v>1557.2687639563458</v>
      </c>
      <c r="U31" s="29"/>
    </row>
    <row r="32" spans="1:21" x14ac:dyDescent="0.3">
      <c r="A32" t="s">
        <v>120</v>
      </c>
      <c r="C32" s="7">
        <f>SUM(E31,I31,O31,S31)/SUM(E27,I27,O27,S27)</f>
        <v>180.12936818216502</v>
      </c>
      <c r="G32" s="7">
        <f>SUM(F31:I31)/SUM(F27:I27)</f>
        <v>180.14251203245016</v>
      </c>
      <c r="J32"/>
      <c r="K32" s="7">
        <f>SUM(J31:M31)/SUM(J27:M27)</f>
        <v>173.55404656663953</v>
      </c>
      <c r="L32"/>
      <c r="M32" s="7">
        <f>SUM(L31:O31)/SUM(L27:O27)</f>
        <v>180.71934515697762</v>
      </c>
      <c r="R32" s="49"/>
      <c r="S32" s="49"/>
      <c r="U32" s="29"/>
    </row>
    <row r="33" spans="1:21" x14ac:dyDescent="0.3">
      <c r="A33" t="s">
        <v>121</v>
      </c>
      <c r="C33" s="7">
        <f>C24-$C$32</f>
        <v>0.67827965353137643</v>
      </c>
      <c r="E33" s="52">
        <f>E24-$C$32</f>
        <v>-4.3079422834523484E-2</v>
      </c>
      <c r="G33" s="7">
        <f>G24-$C$32</f>
        <v>-0.82475139024853661</v>
      </c>
      <c r="I33" s="7">
        <f>I24-$C$32</f>
        <v>0.23908834317268202</v>
      </c>
      <c r="J33"/>
      <c r="K33" s="7">
        <f>K24-$C$32</f>
        <v>-20.969559928074943</v>
      </c>
      <c r="L33"/>
      <c r="M33" s="7">
        <f>M24-$C$32</f>
        <v>3.4205642918552144</v>
      </c>
      <c r="N33" s="52"/>
      <c r="O33" s="7">
        <f>O24-$C$32</f>
        <v>4.856844924535153E-2</v>
      </c>
      <c r="Q33" s="7">
        <f>Q24-$C$32</f>
        <v>0.97031633157700981</v>
      </c>
      <c r="R33" s="49"/>
      <c r="S33" s="7">
        <f>S24-$C$32</f>
        <v>-0.22582563230702135</v>
      </c>
      <c r="U33" s="7"/>
    </row>
    <row r="34" spans="1:21" s="14" customFormat="1" ht="75.75" customHeight="1" x14ac:dyDescent="0.3">
      <c r="A34" s="15" t="s">
        <v>40</v>
      </c>
      <c r="B34" s="391"/>
      <c r="C34" s="391"/>
      <c r="D34" s="51"/>
      <c r="E34" s="51"/>
      <c r="H34" s="51"/>
      <c r="I34" s="51"/>
      <c r="J34" s="21"/>
      <c r="K34" s="21"/>
      <c r="L34" s="21"/>
      <c r="M34" s="21"/>
      <c r="N34" s="51"/>
      <c r="O34" s="51"/>
      <c r="P34" s="21"/>
      <c r="Q34" s="21"/>
    </row>
    <row r="35" spans="1:21" s="19" customFormat="1" x14ac:dyDescent="0.3">
      <c r="A35" s="20" t="s">
        <v>54</v>
      </c>
      <c r="B35" s="20"/>
      <c r="C35" s="20"/>
      <c r="D35" s="47"/>
      <c r="E35" s="47"/>
      <c r="F35" s="20"/>
      <c r="G35" s="20"/>
      <c r="H35" s="47"/>
      <c r="I35" s="47"/>
      <c r="J35" s="54"/>
      <c r="K35" s="54"/>
      <c r="L35" s="54"/>
      <c r="M35" s="54"/>
      <c r="N35" s="47"/>
      <c r="O35" s="47"/>
      <c r="P35" s="54"/>
      <c r="Q35" s="54"/>
    </row>
    <row r="36" spans="1:21" x14ac:dyDescent="0.3">
      <c r="A36" s="7" t="s">
        <v>42</v>
      </c>
      <c r="C36" s="4">
        <f>C8*$C29</f>
        <v>14.183162540995001</v>
      </c>
      <c r="G36" s="4">
        <f>G8*$C29</f>
        <v>4.6324713865831555</v>
      </c>
      <c r="J36"/>
      <c r="K36" s="4">
        <f>K8*$C29</f>
        <v>1.0480654773219229</v>
      </c>
      <c r="L36"/>
      <c r="M36" s="4">
        <f>M8*$C29</f>
        <v>2.3606312658664628</v>
      </c>
      <c r="Q36" s="57">
        <f>Q8*$C29</f>
        <v>5.6475643398437656</v>
      </c>
      <c r="T36" s="29"/>
      <c r="U36" s="57"/>
    </row>
    <row r="37" spans="1:21" x14ac:dyDescent="0.3">
      <c r="A37" t="s">
        <v>50</v>
      </c>
      <c r="C37" s="4">
        <f>C36-C16</f>
        <v>-0.21683745900499929</v>
      </c>
      <c r="G37" s="4">
        <f>G36-G16</f>
        <v>-1.2528613416844081E-2</v>
      </c>
      <c r="J37"/>
      <c r="K37" s="4">
        <f>K36-K16</f>
        <v>-7.8934522678077101E-2</v>
      </c>
      <c r="L37"/>
      <c r="M37" s="4">
        <f>M36-M16</f>
        <v>2.3631265866462581E-2</v>
      </c>
      <c r="Q37" s="57">
        <f>Q36-Q16</f>
        <v>0.11656433984376591</v>
      </c>
      <c r="T37" s="29"/>
      <c r="U37" s="57"/>
    </row>
    <row r="38" spans="1:21" x14ac:dyDescent="0.3">
      <c r="A38" t="s">
        <v>51</v>
      </c>
      <c r="C38" s="23">
        <f>C37/C16</f>
        <v>-1.5058156875347173E-2</v>
      </c>
      <c r="G38" s="23">
        <f>G37/G16</f>
        <v>-2.6972257086854859E-3</v>
      </c>
      <c r="J38"/>
      <c r="K38" s="23">
        <f>K37/K16</f>
        <v>-7.0039505481878525E-2</v>
      </c>
      <c r="L38"/>
      <c r="M38" s="23">
        <f>M37/M16</f>
        <v>1.0111795407129901E-2</v>
      </c>
      <c r="Q38" s="58">
        <f>Q37/Q16</f>
        <v>2.1074731485041749E-2</v>
      </c>
      <c r="T38" s="29"/>
      <c r="U38" s="58"/>
    </row>
    <row r="39" spans="1:21" x14ac:dyDescent="0.3">
      <c r="A39" s="29" t="s">
        <v>53</v>
      </c>
      <c r="B39">
        <f>AVERAGE(B37:S37)</f>
        <v>-3.3620997877938395E-2</v>
      </c>
      <c r="C39" s="23">
        <f>AVERAGE(C38:S38)</f>
        <v>-1.1321672234747905E-2</v>
      </c>
      <c r="G39" s="23"/>
      <c r="J39"/>
      <c r="K39" s="23"/>
      <c r="L39"/>
      <c r="M39" s="23"/>
      <c r="Q39" s="58"/>
      <c r="T39" s="29"/>
      <c r="U39" s="58"/>
    </row>
    <row r="40" spans="1:21" x14ac:dyDescent="0.3">
      <c r="A40" s="29" t="s">
        <v>52</v>
      </c>
      <c r="B40">
        <f>STDEV(B37:S37)</f>
        <v>0.12439848593374442</v>
      </c>
      <c r="C40" s="23">
        <f>STDEV(C38:S38)</f>
        <v>3.5514246598087947E-2</v>
      </c>
      <c r="G40" s="23"/>
      <c r="J40"/>
      <c r="K40" s="23"/>
      <c r="L40"/>
      <c r="M40" s="23"/>
      <c r="Q40" s="58"/>
      <c r="T40" s="29"/>
      <c r="U40" s="58"/>
    </row>
    <row r="41" spans="1:21" x14ac:dyDescent="0.3">
      <c r="C41" s="23"/>
      <c r="G41" s="4"/>
      <c r="Q41" s="57"/>
      <c r="T41" s="29"/>
      <c r="U41" s="57"/>
    </row>
    <row r="42" spans="1:21" x14ac:dyDescent="0.3">
      <c r="A42" s="7" t="s">
        <v>43</v>
      </c>
      <c r="C42" s="4">
        <f>MOD(C9-$C32,360)</f>
        <v>152.67827965353138</v>
      </c>
      <c r="G42" s="4">
        <f>MOD(G9-$C32,360)</f>
        <v>102.86524860975146</v>
      </c>
      <c r="K42" s="4">
        <f>MOD(K9-$C32,360)</f>
        <v>173.53044007192506</v>
      </c>
      <c r="M42" s="4">
        <f>MOD(M9-$C32,360)</f>
        <v>11.180564291855205</v>
      </c>
      <c r="Q42" s="57">
        <f>MOD(Q9-$C32,360)</f>
        <v>134.040316331577</v>
      </c>
      <c r="T42" s="29"/>
      <c r="U42" s="57"/>
    </row>
    <row r="43" spans="1:21" x14ac:dyDescent="0.3">
      <c r="A43" t="s">
        <v>55</v>
      </c>
      <c r="C43" s="4">
        <f>C42-C17</f>
        <v>0.67827965353137643</v>
      </c>
      <c r="G43" s="4">
        <f>G42-G17</f>
        <v>-0.82475139024853661</v>
      </c>
      <c r="K43" s="4">
        <f>K42-K17</f>
        <v>-20.969559928074943</v>
      </c>
      <c r="M43" s="4">
        <f>M42-M17</f>
        <v>3.4205642918552055</v>
      </c>
      <c r="Q43" s="57">
        <f>Q42-Q17</f>
        <v>0.97031633157700981</v>
      </c>
      <c r="T43" s="29"/>
      <c r="U43" s="57"/>
    </row>
    <row r="44" spans="1:21" x14ac:dyDescent="0.3">
      <c r="A44" t="s">
        <v>56</v>
      </c>
      <c r="B44">
        <f>AVERAGE(B43:S43)</f>
        <v>-3.3450302082719774</v>
      </c>
      <c r="C44" s="4"/>
      <c r="G44" s="4"/>
      <c r="T44" s="29"/>
      <c r="U44" s="29"/>
    </row>
    <row r="45" spans="1:21" x14ac:dyDescent="0.3">
      <c r="A45" t="s">
        <v>57</v>
      </c>
      <c r="B45">
        <f>STDEV(B43:S43)</f>
        <v>9.9694327836143426</v>
      </c>
      <c r="C45" s="4"/>
      <c r="G45" s="4"/>
      <c r="T45" s="29"/>
      <c r="U45" s="29"/>
    </row>
    <row r="46" spans="1:21" x14ac:dyDescent="0.3">
      <c r="C46" s="4"/>
      <c r="G46" s="4"/>
      <c r="T46" s="29"/>
      <c r="U46" s="29"/>
    </row>
    <row r="47" spans="1:21" x14ac:dyDescent="0.3">
      <c r="A47" t="s">
        <v>44</v>
      </c>
      <c r="B47" s="9">
        <f>-C36*SIN((C42)/180*PI())</f>
        <v>-6.5098785566440567</v>
      </c>
      <c r="C47" s="9">
        <f>C36*COS((C42)/180*PI())</f>
        <v>-12.600935712955195</v>
      </c>
      <c r="F47" s="9">
        <f>-G36*SIN((G42)/180*PI())</f>
        <v>-4.5161797794647107</v>
      </c>
      <c r="G47" s="9">
        <f>G36*COS((G42)/180*PI())</f>
        <v>-1.031460783096352</v>
      </c>
      <c r="J47" s="9">
        <f>-K36*SIN((K42)/180*PI())</f>
        <v>-0.11809112716405257</v>
      </c>
      <c r="K47" s="9">
        <f>K36*COS((K42)/180*PI())</f>
        <v>-1.0413912475333915</v>
      </c>
      <c r="L47" s="9">
        <f>-M36*SIN((M42)/180*PI())</f>
        <v>-0.45773014001215534</v>
      </c>
      <c r="M47" s="9">
        <f>M36*COS((M42)/180*PI())</f>
        <v>2.3158288132568763</v>
      </c>
      <c r="P47" s="9">
        <f>-Q36*SIN((Q42)/180*PI())</f>
        <v>-4.059756279510057</v>
      </c>
      <c r="Q47" s="9">
        <f>Q36*COS((Q42)/180*PI())</f>
        <v>-3.9259854716559515</v>
      </c>
      <c r="T47" s="9"/>
      <c r="U47" s="9"/>
    </row>
    <row r="48" spans="1:21" s="10" customFormat="1" x14ac:dyDescent="0.3">
      <c r="A48" t="s">
        <v>45</v>
      </c>
      <c r="B48" s="9">
        <f t="shared" ref="B48:G48" si="4">B47-B18</f>
        <v>0.25051194747276906</v>
      </c>
      <c r="C48" s="9">
        <f t="shared" si="4"/>
        <v>0.11350962421335353</v>
      </c>
      <c r="D48" s="49"/>
      <c r="E48" s="49"/>
      <c r="F48" s="9">
        <f t="shared" si="4"/>
        <v>-3.1421798383544086E-3</v>
      </c>
      <c r="G48" s="9">
        <f t="shared" si="4"/>
        <v>6.7864748472332925E-2</v>
      </c>
      <c r="H48" s="49"/>
      <c r="I48" s="49"/>
      <c r="J48" s="9">
        <f>J47-J18</f>
        <v>-0.4002693917334077</v>
      </c>
      <c r="K48" s="9">
        <f>K47-K18</f>
        <v>4.971114317273595E-2</v>
      </c>
      <c r="L48" s="9">
        <f>L47-L18</f>
        <v>-0.14217936296753481</v>
      </c>
      <c r="M48" s="9">
        <f>M47-M18</f>
        <v>2.3024979503638576E-4</v>
      </c>
      <c r="N48" s="49"/>
      <c r="O48" s="49"/>
      <c r="P48" s="9">
        <f>P47-P18</f>
        <v>-1.9250503390919604E-2</v>
      </c>
      <c r="Q48" s="9">
        <f>Q47-Q18</f>
        <v>-0.14891331545508191</v>
      </c>
      <c r="T48" s="9"/>
      <c r="U48" s="9"/>
    </row>
    <row r="49" spans="1:21" x14ac:dyDescent="0.3">
      <c r="A49" t="s">
        <v>46</v>
      </c>
      <c r="B49">
        <f t="shared" ref="B49:G49" si="5">B48^2</f>
        <v>6.2756235826599407E-2</v>
      </c>
      <c r="C49">
        <f t="shared" si="5"/>
        <v>1.2884434789056735E-2</v>
      </c>
      <c r="F49">
        <f t="shared" si="5"/>
        <v>9.8732941365609381E-6</v>
      </c>
      <c r="G49">
        <f t="shared" si="5"/>
        <v>4.6056240852130137E-3</v>
      </c>
      <c r="J49" s="29">
        <f>J48^2</f>
        <v>0.1602155859586322</v>
      </c>
      <c r="K49" s="29">
        <f>K48^2</f>
        <v>2.471197755540252E-3</v>
      </c>
      <c r="L49" s="29">
        <f>L48^2</f>
        <v>2.0214971253854009E-2</v>
      </c>
      <c r="M49" s="29">
        <f>M48^2</f>
        <v>5.3014968114297651E-8</v>
      </c>
      <c r="P49" s="29">
        <f>P48^2</f>
        <v>3.705818808038072E-4</v>
      </c>
      <c r="Q49" s="29">
        <f>Q48^2</f>
        <v>2.2175175519824737E-2</v>
      </c>
      <c r="T49" s="29"/>
      <c r="U49" s="29"/>
    </row>
    <row r="50" spans="1:21" s="10" customFormat="1" x14ac:dyDescent="0.3">
      <c r="A50" t="s">
        <v>47</v>
      </c>
      <c r="B50" s="9"/>
      <c r="C50" s="9">
        <f>SQRT(B49+C49)</f>
        <v>0.27502849055262646</v>
      </c>
      <c r="D50" s="49"/>
      <c r="E50" s="49"/>
      <c r="F50" s="9"/>
      <c r="G50" s="9">
        <f>SQRT(F49+G49)</f>
        <v>6.7937451963917331E-2</v>
      </c>
      <c r="H50" s="49"/>
      <c r="I50" s="49"/>
      <c r="J50" s="9"/>
      <c r="K50" s="9">
        <f>SQRT(J49+K49)</f>
        <v>0.40334449756278123</v>
      </c>
      <c r="L50" s="9"/>
      <c r="M50" s="9">
        <f>SQRT(L49+M49)</f>
        <v>0.14217954940434338</v>
      </c>
      <c r="N50" s="49"/>
      <c r="O50" s="49"/>
      <c r="P50" s="9"/>
      <c r="Q50" s="9">
        <f>SQRT(P49+Q49)</f>
        <v>0.15015244720159757</v>
      </c>
      <c r="T50" s="9"/>
      <c r="U50" s="9"/>
    </row>
    <row r="51" spans="1:21" s="10" customFormat="1" x14ac:dyDescent="0.3">
      <c r="A51" t="s">
        <v>48</v>
      </c>
      <c r="B51" s="9"/>
      <c r="C51" s="11">
        <f>C50/C36</f>
        <v>1.939119641036929E-2</v>
      </c>
      <c r="D51" s="49"/>
      <c r="E51" s="49"/>
      <c r="G51" s="11">
        <f>G50/G36</f>
        <v>1.4665487661873509E-2</v>
      </c>
      <c r="H51" s="49"/>
      <c r="I51" s="49"/>
      <c r="J51" s="29"/>
      <c r="K51" s="11">
        <f>K50/K36</f>
        <v>0.38484665919292588</v>
      </c>
      <c r="L51" s="29"/>
      <c r="M51" s="11">
        <f>M50/M36</f>
        <v>6.0229461271731823E-2</v>
      </c>
      <c r="N51" s="49"/>
      <c r="O51" s="49"/>
      <c r="P51" s="29"/>
      <c r="Q51" s="11">
        <f>Q50/Q36</f>
        <v>2.6587115819516522E-2</v>
      </c>
      <c r="T51" s="29"/>
      <c r="U51" s="11"/>
    </row>
    <row r="52" spans="1:21" s="10" customFormat="1" x14ac:dyDescent="0.3">
      <c r="A52"/>
      <c r="B52" s="9"/>
      <c r="C52" s="12"/>
      <c r="D52" s="49"/>
      <c r="E52" s="49"/>
      <c r="G52" s="11"/>
      <c r="H52" s="49"/>
      <c r="I52" s="49"/>
      <c r="J52" s="29"/>
      <c r="K52" s="29"/>
      <c r="L52" s="29"/>
      <c r="M52" s="29"/>
      <c r="N52" s="49"/>
      <c r="O52" s="49"/>
      <c r="P52" s="29"/>
      <c r="Q52" s="29"/>
    </row>
    <row r="53" spans="1:21" s="10" customFormat="1" x14ac:dyDescent="0.3">
      <c r="A53" t="s">
        <v>89</v>
      </c>
      <c r="B53" s="9">
        <f>MEDIAN(C50,G50,M50,Q50)</f>
        <v>0.14616599830297047</v>
      </c>
      <c r="C53" s="12"/>
      <c r="D53" s="49"/>
      <c r="E53" s="49"/>
      <c r="G53" s="11"/>
      <c r="H53" s="49"/>
      <c r="I53" s="49"/>
      <c r="J53" s="29"/>
      <c r="K53" s="29"/>
      <c r="L53" s="29"/>
      <c r="M53" s="29"/>
      <c r="N53" s="49"/>
      <c r="O53" s="49"/>
      <c r="P53" s="29"/>
      <c r="Q53" s="29"/>
    </row>
    <row r="54" spans="1:21" s="10" customFormat="1" x14ac:dyDescent="0.3">
      <c r="A54" t="s">
        <v>81</v>
      </c>
      <c r="B54" s="9">
        <f>AVERAGE(C50,G50,M50,Q50)</f>
        <v>0.15882448478062119</v>
      </c>
      <c r="C54" s="12"/>
      <c r="D54" s="49"/>
      <c r="E54" s="49"/>
      <c r="G54" s="11"/>
      <c r="H54" s="49"/>
      <c r="I54" s="49"/>
      <c r="J54" s="29"/>
      <c r="K54" s="29"/>
      <c r="L54" s="29"/>
      <c r="M54" s="29"/>
      <c r="N54" s="49"/>
      <c r="O54" s="49"/>
      <c r="P54" s="29"/>
      <c r="Q54" s="29"/>
    </row>
    <row r="55" spans="1:21" s="10" customFormat="1" x14ac:dyDescent="0.3">
      <c r="A55" t="s">
        <v>82</v>
      </c>
      <c r="B55" s="9">
        <f>STDEV(C50,G50,M50,Q50)</f>
        <v>8.5860510521693051E-2</v>
      </c>
      <c r="C55" s="12"/>
      <c r="D55" s="49"/>
      <c r="E55" s="49"/>
      <c r="G55" s="11"/>
      <c r="H55" s="49"/>
      <c r="I55" s="49"/>
      <c r="J55" s="29"/>
      <c r="K55" s="29"/>
      <c r="L55" s="29"/>
      <c r="M55" s="29"/>
      <c r="N55" s="49"/>
      <c r="O55" s="49"/>
      <c r="P55" s="29"/>
      <c r="Q55" s="29"/>
    </row>
    <row r="56" spans="1:21" s="10" customFormat="1" x14ac:dyDescent="0.3">
      <c r="A56" t="s">
        <v>83</v>
      </c>
      <c r="B56" s="42">
        <f>COUNT(B50:G50)</f>
        <v>2</v>
      </c>
      <c r="C56" s="12"/>
      <c r="D56" s="49"/>
      <c r="E56" s="49"/>
      <c r="G56" s="11"/>
      <c r="H56" s="49"/>
      <c r="I56" s="49"/>
      <c r="J56" s="29"/>
      <c r="K56" s="29"/>
      <c r="L56" s="29"/>
      <c r="M56" s="29"/>
      <c r="N56" s="49"/>
      <c r="O56" s="49"/>
      <c r="P56" s="29"/>
      <c r="Q56" s="29"/>
    </row>
    <row r="57" spans="1:21" s="10" customFormat="1" x14ac:dyDescent="0.3">
      <c r="A57"/>
      <c r="B57" s="9"/>
      <c r="C57" s="9"/>
      <c r="D57" s="49"/>
      <c r="E57" s="49"/>
      <c r="H57" s="49"/>
      <c r="I57" s="49"/>
      <c r="J57" s="29"/>
      <c r="K57" s="29"/>
      <c r="L57" s="29"/>
      <c r="M57" s="29"/>
      <c r="N57" s="49"/>
      <c r="O57" s="49"/>
      <c r="P57" s="29"/>
      <c r="Q57" s="29"/>
    </row>
    <row r="58" spans="1:21" s="10" customFormat="1" x14ac:dyDescent="0.3">
      <c r="B58" s="7"/>
      <c r="C58" s="7"/>
      <c r="D58" s="49"/>
      <c r="E58" s="49"/>
      <c r="F58" s="7"/>
      <c r="G58" s="7"/>
      <c r="H58" s="49"/>
      <c r="I58" s="49"/>
      <c r="J58" s="29"/>
      <c r="K58" s="29"/>
      <c r="L58" s="29"/>
      <c r="M58" s="29"/>
      <c r="N58" s="49"/>
      <c r="O58" s="49"/>
      <c r="P58" s="29"/>
      <c r="Q58" s="29"/>
    </row>
    <row r="59" spans="1:21" x14ac:dyDescent="0.3">
      <c r="A59" s="7"/>
    </row>
    <row r="60" spans="1:21" x14ac:dyDescent="0.3">
      <c r="A60" s="10"/>
    </row>
    <row r="61" spans="1:21" x14ac:dyDescent="0.3">
      <c r="A61" s="10"/>
    </row>
    <row r="62" spans="1:21" x14ac:dyDescent="0.3">
      <c r="A62" s="10"/>
    </row>
  </sheetData>
  <mergeCells count="11">
    <mergeCell ref="B34:C34"/>
    <mergeCell ref="B10:C10"/>
    <mergeCell ref="D10:E10"/>
    <mergeCell ref="F10:G10"/>
    <mergeCell ref="R10:S10"/>
    <mergeCell ref="H10:I10"/>
    <mergeCell ref="P10:Q10"/>
    <mergeCell ref="B19:C19"/>
    <mergeCell ref="F19:G19"/>
    <mergeCell ref="J10:K10"/>
    <mergeCell ref="L10:M10"/>
  </mergeCells>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Charts</vt:lpstr>
      </vt:variant>
      <vt:variant>
        <vt:i4>3</vt:i4>
      </vt:variant>
    </vt:vector>
  </HeadingPairs>
  <TitlesOfParts>
    <vt:vector size="41" baseType="lpstr">
      <vt:lpstr>Error Histogram Sheet</vt:lpstr>
      <vt:lpstr>19941218</vt:lpstr>
      <vt:lpstr>20070702</vt:lpstr>
      <vt:lpstr>20070919</vt:lpstr>
      <vt:lpstr>20071223</vt:lpstr>
      <vt:lpstr>20080219</vt:lpstr>
      <vt:lpstr>20080414</vt:lpstr>
      <vt:lpstr>20080414 Re-Analysis</vt:lpstr>
      <vt:lpstr>20080715</vt:lpstr>
      <vt:lpstr>20080715 Re-Analysis</vt:lpstr>
      <vt:lpstr>20080818</vt:lpstr>
      <vt:lpstr>20080818 Re-Analysis</vt:lpstr>
      <vt:lpstr>20080915</vt:lpstr>
      <vt:lpstr>20080916</vt:lpstr>
      <vt:lpstr>20090129</vt:lpstr>
      <vt:lpstr>20090130</vt:lpstr>
      <vt:lpstr>20090314</vt:lpstr>
      <vt:lpstr>20090429</vt:lpstr>
      <vt:lpstr>20090707</vt:lpstr>
      <vt:lpstr>20090903</vt:lpstr>
      <vt:lpstr>20100111</vt:lpstr>
      <vt:lpstr>20100130</vt:lpstr>
      <vt:lpstr>20100301</vt:lpstr>
      <vt:lpstr>20100315</vt:lpstr>
      <vt:lpstr>20100424</vt:lpstr>
      <vt:lpstr>20100726</vt:lpstr>
      <vt:lpstr>20110129UT</vt:lpstr>
      <vt:lpstr>20110608UT</vt:lpstr>
      <vt:lpstr>20110814UT</vt:lpstr>
      <vt:lpstr>20120310UT</vt:lpstr>
      <vt:lpstr>20120405UT</vt:lpstr>
      <vt:lpstr>20130105</vt:lpstr>
      <vt:lpstr>20130305</vt:lpstr>
      <vt:lpstr>20130306</vt:lpstr>
      <vt:lpstr>20130331</vt:lpstr>
      <vt:lpstr>20130716</vt:lpstr>
      <vt:lpstr>20131023</vt:lpstr>
      <vt:lpstr>20131026</vt:lpstr>
      <vt:lpstr>Error Chart</vt:lpstr>
      <vt:lpstr>20080219 Scale Residuals</vt:lpstr>
      <vt:lpstr>20080219 Rotation Residuals</vt:lpstr>
    </vt:vector>
  </TitlesOfParts>
  <Company>NOAA/SWPC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dude</cp:lastModifiedBy>
  <cp:lastPrinted>2009-02-09T20:33:12Z</cp:lastPrinted>
  <dcterms:created xsi:type="dcterms:W3CDTF">2008-06-09T01:42:25Z</dcterms:created>
  <dcterms:modified xsi:type="dcterms:W3CDTF">2013-10-31T17:15:03Z</dcterms:modified>
</cp:coreProperties>
</file>