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Techniques\Flux Calibration\"/>
    </mc:Choice>
  </mc:AlternateContent>
  <xr:revisionPtr revIDLastSave="0" documentId="13_ncr:1_{B3226BD1-5381-4D9E-9FE3-B9A9FAC11AC9}" xr6:coauthVersionLast="32" xr6:coauthVersionMax="32" xr10:uidLastSave="{00000000-0000-0000-0000-000000000000}"/>
  <bookViews>
    <workbookView xWindow="9300" yWindow="0" windowWidth="18270" windowHeight="6970" activeTab="2" xr2:uid="{AE81BFB2-CACC-4057-B6E6-2CE0C9FAC798}"/>
  </bookViews>
  <sheets>
    <sheet name="Star List" sheetId="4" r:id="rId1"/>
    <sheet name="Observations List" sheetId="10" r:id="rId2"/>
    <sheet name="Roll-Up" sheetId="13" r:id="rId3"/>
    <sheet name="BRUN 862 Chart" sheetId="2" r:id="rId4"/>
    <sheet name="BRUN 862" sheetId="1" r:id="rId5"/>
    <sheet name="V2149 Ori" sheetId="9" r:id="rId6"/>
    <sheet name="HD 36981" sheetId="3" r:id="rId7"/>
    <sheet name="HD 36939" sheetId="7" r:id="rId8"/>
    <sheet name="Theta 2 Ori B" sheetId="8" r:id="rId9"/>
    <sheet name="TYC 2293-637-1" sheetId="11" r:id="rId10"/>
    <sheet name="TYC 2293-1266-1" sheetId="12" r:id="rId11"/>
    <sheet name="Sheet1 (4)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9" l="1"/>
  <c r="F65" i="9"/>
  <c r="E65" i="9"/>
  <c r="D65" i="9"/>
  <c r="G65" i="12"/>
  <c r="F65" i="12"/>
  <c r="E65" i="12"/>
  <c r="D65" i="12"/>
  <c r="G65" i="11"/>
  <c r="F65" i="11"/>
  <c r="E65" i="11"/>
  <c r="D65" i="11"/>
  <c r="G65" i="8"/>
  <c r="F65" i="8"/>
  <c r="E65" i="8"/>
  <c r="D65" i="8"/>
  <c r="G65" i="7"/>
  <c r="F65" i="7"/>
  <c r="E65" i="7"/>
  <c r="D65" i="7"/>
  <c r="G65" i="3"/>
  <c r="F65" i="3"/>
  <c r="E65" i="3"/>
  <c r="D65" i="3"/>
  <c r="C5" i="13" l="1"/>
  <c r="C6" i="13" s="1"/>
  <c r="C3" i="13"/>
  <c r="C8" i="13" s="1"/>
  <c r="C9" i="13" s="1"/>
  <c r="E64" i="12"/>
  <c r="C58" i="12"/>
  <c r="C60" i="12" s="1"/>
  <c r="G57" i="12"/>
  <c r="E57" i="12"/>
  <c r="G56" i="12"/>
  <c r="E56" i="12"/>
  <c r="G55" i="12"/>
  <c r="E55" i="12"/>
  <c r="G54" i="12"/>
  <c r="E54" i="12"/>
  <c r="G53" i="12"/>
  <c r="G58" i="12" s="1"/>
  <c r="E53" i="12"/>
  <c r="G52" i="12"/>
  <c r="E52" i="12"/>
  <c r="C45" i="12"/>
  <c r="C47" i="12" s="1"/>
  <c r="C32" i="12"/>
  <c r="C34" i="12" s="1"/>
  <c r="C19" i="12"/>
  <c r="C21" i="12" s="1"/>
  <c r="F7" i="12"/>
  <c r="G7" i="12" s="1"/>
  <c r="E7" i="12"/>
  <c r="D7" i="12"/>
  <c r="D6" i="12"/>
  <c r="D5" i="12"/>
  <c r="D4" i="12"/>
  <c r="C7" i="13" l="1"/>
  <c r="E59" i="12"/>
  <c r="G63" i="12"/>
  <c r="G64" i="12" s="1"/>
  <c r="G59" i="12"/>
  <c r="E58" i="12"/>
  <c r="F63" i="12" s="1"/>
  <c r="F64" i="12" s="1"/>
  <c r="H64" i="12" s="1"/>
  <c r="H11" i="4"/>
  <c r="H10" i="4"/>
  <c r="H9" i="4"/>
  <c r="H6" i="4"/>
  <c r="H7" i="4"/>
  <c r="H8" i="4"/>
  <c r="H5" i="4"/>
  <c r="H4" i="4"/>
  <c r="H3" i="4"/>
  <c r="H2" i="4"/>
  <c r="G52" i="11"/>
  <c r="E52" i="11"/>
  <c r="E57" i="11"/>
  <c r="E56" i="11"/>
  <c r="E55" i="11"/>
  <c r="E54" i="11"/>
  <c r="E53" i="11"/>
  <c r="G57" i="11"/>
  <c r="G56" i="11"/>
  <c r="G55" i="11"/>
  <c r="G54" i="11"/>
  <c r="G53" i="11"/>
  <c r="C58" i="11"/>
  <c r="C60" i="11" s="1"/>
  <c r="C45" i="11"/>
  <c r="C47" i="11" s="1"/>
  <c r="E59" i="11"/>
  <c r="C32" i="11"/>
  <c r="C34" i="11" s="1"/>
  <c r="C19" i="11"/>
  <c r="C21" i="11" s="1"/>
  <c r="F7" i="11"/>
  <c r="G7" i="11" s="1"/>
  <c r="E7" i="11"/>
  <c r="D7" i="11"/>
  <c r="D6" i="11"/>
  <c r="D5" i="11"/>
  <c r="D4" i="11"/>
  <c r="G58" i="11" l="1"/>
  <c r="G63" i="11" s="1"/>
  <c r="G64" i="11" s="1"/>
  <c r="E64" i="11"/>
  <c r="E58" i="11"/>
  <c r="F63" i="11" s="1"/>
  <c r="F64" i="11" s="1"/>
  <c r="H64" i="11" l="1"/>
  <c r="G59" i="11"/>
  <c r="D64" i="9"/>
  <c r="C58" i="9"/>
  <c r="C60" i="9" s="1"/>
  <c r="G56" i="9"/>
  <c r="F56" i="9"/>
  <c r="E56" i="9"/>
  <c r="D56" i="9"/>
  <c r="G55" i="9"/>
  <c r="F55" i="9"/>
  <c r="E55" i="9"/>
  <c r="D55" i="9"/>
  <c r="G54" i="9"/>
  <c r="F54" i="9"/>
  <c r="E54" i="9"/>
  <c r="D54" i="9"/>
  <c r="G53" i="9"/>
  <c r="F53" i="9"/>
  <c r="F59" i="9" s="1"/>
  <c r="E53" i="9"/>
  <c r="E59" i="9" s="1"/>
  <c r="D53" i="9"/>
  <c r="D59" i="9" s="1"/>
  <c r="C45" i="9"/>
  <c r="C47" i="9" s="1"/>
  <c r="F43" i="9"/>
  <c r="E43" i="9"/>
  <c r="D43" i="9"/>
  <c r="F42" i="9"/>
  <c r="E42" i="9"/>
  <c r="D42" i="9"/>
  <c r="F41" i="9"/>
  <c r="E41" i="9"/>
  <c r="D41" i="9"/>
  <c r="F40" i="9"/>
  <c r="E40" i="9"/>
  <c r="D40" i="9"/>
  <c r="C32" i="9"/>
  <c r="C34" i="9" s="1"/>
  <c r="C19" i="9"/>
  <c r="C21" i="9" s="1"/>
  <c r="F7" i="9"/>
  <c r="G7" i="9" s="1"/>
  <c r="E7" i="9"/>
  <c r="D7" i="9"/>
  <c r="D6" i="9"/>
  <c r="D5" i="9"/>
  <c r="D4" i="9"/>
  <c r="C58" i="3"/>
  <c r="C60" i="3" s="1"/>
  <c r="F58" i="3"/>
  <c r="E58" i="3"/>
  <c r="D58" i="3"/>
  <c r="G58" i="7"/>
  <c r="F58" i="7"/>
  <c r="E58" i="7"/>
  <c r="D58" i="7"/>
  <c r="D40" i="3"/>
  <c r="E40" i="3"/>
  <c r="F40" i="3"/>
  <c r="D41" i="3"/>
  <c r="E41" i="3"/>
  <c r="F41" i="3"/>
  <c r="D42" i="3"/>
  <c r="E42" i="3"/>
  <c r="F42" i="3"/>
  <c r="D43" i="3"/>
  <c r="E43" i="3"/>
  <c r="F43" i="3"/>
  <c r="G56" i="3"/>
  <c r="F56" i="3"/>
  <c r="E56" i="3"/>
  <c r="G55" i="3"/>
  <c r="F55" i="3"/>
  <c r="E55" i="3"/>
  <c r="G54" i="3"/>
  <c r="F54" i="3"/>
  <c r="E54" i="3"/>
  <c r="G53" i="3"/>
  <c r="F53" i="3"/>
  <c r="E53" i="3"/>
  <c r="D56" i="3"/>
  <c r="D55" i="3"/>
  <c r="D54" i="3"/>
  <c r="D53" i="3"/>
  <c r="G51" i="8"/>
  <c r="G58" i="9" l="1"/>
  <c r="E46" i="9"/>
  <c r="F45" i="9"/>
  <c r="D58" i="9"/>
  <c r="D46" i="9"/>
  <c r="D45" i="9"/>
  <c r="E63" i="9" s="1"/>
  <c r="F63" i="9" s="1"/>
  <c r="E45" i="9"/>
  <c r="F46" i="9"/>
  <c r="E58" i="9"/>
  <c r="F58" i="9"/>
  <c r="G58" i="3"/>
  <c r="D59" i="3"/>
  <c r="E59" i="3"/>
  <c r="F59" i="3"/>
  <c r="E64" i="9" l="1"/>
  <c r="G63" i="9"/>
  <c r="F59" i="7"/>
  <c r="E59" i="7"/>
  <c r="D59" i="7"/>
  <c r="G57" i="7"/>
  <c r="G56" i="7"/>
  <c r="G55" i="7"/>
  <c r="G54" i="7"/>
  <c r="G53" i="7"/>
  <c r="D64" i="7"/>
  <c r="E63" i="7"/>
  <c r="E64" i="7" s="1"/>
  <c r="C58" i="7"/>
  <c r="C60" i="7" s="1"/>
  <c r="F54" i="7"/>
  <c r="F55" i="7"/>
  <c r="F56" i="7"/>
  <c r="F57" i="7"/>
  <c r="D54" i="7"/>
  <c r="D55" i="7"/>
  <c r="D56" i="7"/>
  <c r="D57" i="7"/>
  <c r="E54" i="7"/>
  <c r="E55" i="7"/>
  <c r="E56" i="7"/>
  <c r="E57" i="7"/>
  <c r="F53" i="7"/>
  <c r="E53" i="7"/>
  <c r="D53" i="7"/>
  <c r="E63" i="8"/>
  <c r="F63" i="8" s="1"/>
  <c r="F53" i="8"/>
  <c r="F52" i="8"/>
  <c r="F51" i="8"/>
  <c r="F50" i="8"/>
  <c r="E53" i="8"/>
  <c r="E52" i="8"/>
  <c r="E51" i="8"/>
  <c r="D52" i="8"/>
  <c r="D53" i="8"/>
  <c r="D54" i="8"/>
  <c r="D51" i="8"/>
  <c r="C58" i="8"/>
  <c r="C60" i="8" s="1"/>
  <c r="F57" i="8"/>
  <c r="E57" i="8"/>
  <c r="D57" i="8"/>
  <c r="F56" i="8"/>
  <c r="E56" i="8"/>
  <c r="D56" i="8"/>
  <c r="F55" i="8"/>
  <c r="E55" i="8"/>
  <c r="D55" i="8"/>
  <c r="F54" i="8"/>
  <c r="E54" i="8"/>
  <c r="F58" i="8"/>
  <c r="C58" i="1"/>
  <c r="C60" i="1" s="1"/>
  <c r="F57" i="1"/>
  <c r="E57" i="1"/>
  <c r="D57" i="1"/>
  <c r="F56" i="1"/>
  <c r="E56" i="1"/>
  <c r="D56" i="1"/>
  <c r="F55" i="1"/>
  <c r="E55" i="1"/>
  <c r="D55" i="1"/>
  <c r="F54" i="1"/>
  <c r="F59" i="1" s="1"/>
  <c r="E54" i="1"/>
  <c r="E59" i="1" s="1"/>
  <c r="D54" i="1"/>
  <c r="F53" i="1"/>
  <c r="E53" i="1"/>
  <c r="D53" i="1"/>
  <c r="F52" i="1"/>
  <c r="F58" i="1" s="1"/>
  <c r="E52" i="1"/>
  <c r="D52" i="1"/>
  <c r="D51" i="1"/>
  <c r="D50" i="1"/>
  <c r="F64" i="9" l="1"/>
  <c r="G64" i="9"/>
  <c r="G59" i="7"/>
  <c r="F63" i="7"/>
  <c r="F64" i="7" s="1"/>
  <c r="D58" i="8"/>
  <c r="E58" i="8"/>
  <c r="D59" i="8"/>
  <c r="E59" i="8"/>
  <c r="F59" i="8"/>
  <c r="E58" i="1"/>
  <c r="D58" i="1"/>
  <c r="D59" i="1"/>
  <c r="D64" i="1"/>
  <c r="D64" i="3"/>
  <c r="D64" i="8"/>
  <c r="H64" i="9" l="1"/>
  <c r="G63" i="7"/>
  <c r="G64" i="7" s="1"/>
  <c r="H64" i="7" s="1"/>
  <c r="C45" i="8"/>
  <c r="C47" i="8" s="1"/>
  <c r="C32" i="8"/>
  <c r="C34" i="8" s="1"/>
  <c r="C19" i="8"/>
  <c r="C21" i="8" s="1"/>
  <c r="F7" i="8"/>
  <c r="G7" i="8" s="1"/>
  <c r="E7" i="8"/>
  <c r="D7" i="8"/>
  <c r="D6" i="8"/>
  <c r="D5" i="8"/>
  <c r="D4" i="8"/>
  <c r="F39" i="1"/>
  <c r="E44" i="1"/>
  <c r="F44" i="1"/>
  <c r="E39" i="1"/>
  <c r="F43" i="1"/>
  <c r="E43" i="1"/>
  <c r="D43" i="1"/>
  <c r="F42" i="1"/>
  <c r="E42" i="1"/>
  <c r="E46" i="1" s="1"/>
  <c r="D42" i="1"/>
  <c r="F41" i="1"/>
  <c r="E41" i="1"/>
  <c r="D41" i="1"/>
  <c r="F40" i="1"/>
  <c r="E40" i="1"/>
  <c r="D40" i="1"/>
  <c r="E45" i="1"/>
  <c r="C45" i="1"/>
  <c r="C47" i="1" s="1"/>
  <c r="C32" i="1"/>
  <c r="C34" i="1" s="1"/>
  <c r="C19" i="1"/>
  <c r="C21" i="1" s="1"/>
  <c r="C45" i="7"/>
  <c r="C47" i="7" s="1"/>
  <c r="C34" i="7"/>
  <c r="C32" i="7"/>
  <c r="C19" i="7"/>
  <c r="C21" i="7" s="1"/>
  <c r="G7" i="7"/>
  <c r="F7" i="7"/>
  <c r="E7" i="7"/>
  <c r="D7" i="7"/>
  <c r="D6" i="7"/>
  <c r="D5" i="7"/>
  <c r="D4" i="7"/>
  <c r="K33" i="6"/>
  <c r="K35" i="6" s="1"/>
  <c r="I33" i="6"/>
  <c r="I35" i="6" s="1"/>
  <c r="E33" i="6"/>
  <c r="E35" i="6" s="1"/>
  <c r="E37" i="6" s="1"/>
  <c r="C33" i="6"/>
  <c r="C35" i="6" s="1"/>
  <c r="C37" i="6" s="1"/>
  <c r="L32" i="6"/>
  <c r="D32" i="6"/>
  <c r="L31" i="6"/>
  <c r="D31" i="6"/>
  <c r="L30" i="6"/>
  <c r="D30" i="6"/>
  <c r="L29" i="6"/>
  <c r="J29" i="6"/>
  <c r="F29" i="6"/>
  <c r="D29" i="6"/>
  <c r="L28" i="6"/>
  <c r="D28" i="6"/>
  <c r="L27" i="6"/>
  <c r="D27" i="6"/>
  <c r="L26" i="6"/>
  <c r="D26" i="6"/>
  <c r="L25" i="6"/>
  <c r="D25" i="6"/>
  <c r="K20" i="6"/>
  <c r="K22" i="6" s="1"/>
  <c r="I20" i="6"/>
  <c r="I22" i="6" s="1"/>
  <c r="E20" i="6"/>
  <c r="E22" i="6" s="1"/>
  <c r="C20" i="6"/>
  <c r="C22" i="6" s="1"/>
  <c r="L7" i="6"/>
  <c r="J7" i="6"/>
  <c r="H7" i="6"/>
  <c r="N7" i="6" s="1"/>
  <c r="O7" i="6" s="1"/>
  <c r="F7" i="6"/>
  <c r="D7" i="6"/>
  <c r="M7" i="6" s="1"/>
  <c r="L6" i="6"/>
  <c r="J6" i="6"/>
  <c r="H6" i="6"/>
  <c r="F6" i="6"/>
  <c r="D6" i="6"/>
  <c r="L5" i="6"/>
  <c r="J5" i="6"/>
  <c r="H5" i="6"/>
  <c r="F5" i="6"/>
  <c r="D5" i="6"/>
  <c r="L4" i="6"/>
  <c r="J4" i="6"/>
  <c r="H4" i="6"/>
  <c r="F4" i="6"/>
  <c r="D4" i="6"/>
  <c r="D46" i="3"/>
  <c r="F45" i="3"/>
  <c r="E46" i="3"/>
  <c r="C19" i="3"/>
  <c r="C21" i="3" s="1"/>
  <c r="D45" i="3"/>
  <c r="E63" i="3" s="1"/>
  <c r="C32" i="3"/>
  <c r="C34" i="3" s="1"/>
  <c r="C45" i="3"/>
  <c r="C47" i="3" s="1"/>
  <c r="F7" i="3"/>
  <c r="G7" i="3" s="1"/>
  <c r="D7" i="3"/>
  <c r="E7" i="3"/>
  <c r="D6" i="3"/>
  <c r="D5" i="3"/>
  <c r="D4" i="3"/>
  <c r="E64" i="3" l="1"/>
  <c r="F63" i="3"/>
  <c r="G63" i="3"/>
  <c r="D5" i="13"/>
  <c r="D6" i="13" s="1"/>
  <c r="D3" i="13"/>
  <c r="D8" i="13" s="1"/>
  <c r="D9" i="13" s="1"/>
  <c r="F46" i="3"/>
  <c r="E45" i="3"/>
  <c r="F46" i="1"/>
  <c r="E64" i="8"/>
  <c r="F64" i="8"/>
  <c r="F45" i="1"/>
  <c r="F63" i="1" s="1"/>
  <c r="F64" i="1" s="1"/>
  <c r="I37" i="6"/>
  <c r="K37" i="6"/>
  <c r="D44" i="1"/>
  <c r="D46" i="1"/>
  <c r="D39" i="1"/>
  <c r="D38" i="1"/>
  <c r="D37" i="1"/>
  <c r="D45" i="1" s="1"/>
  <c r="E63" i="1" s="1"/>
  <c r="E64" i="1" s="1"/>
  <c r="G64" i="1" s="1"/>
  <c r="D7" i="13" l="1"/>
  <c r="G64" i="3"/>
  <c r="F5" i="13"/>
  <c r="F6" i="13" s="1"/>
  <c r="F3" i="13"/>
  <c r="F8" i="13" s="1"/>
  <c r="F9" i="13" s="1"/>
  <c r="F64" i="3"/>
  <c r="E3" i="13"/>
  <c r="E8" i="13" s="1"/>
  <c r="E9" i="13" s="1"/>
  <c r="E5" i="13"/>
  <c r="E6" i="13" s="1"/>
  <c r="H64" i="8"/>
  <c r="E7" i="1"/>
  <c r="F7" i="1" s="1"/>
  <c r="D7" i="1"/>
  <c r="D6" i="1"/>
  <c r="D5" i="1"/>
  <c r="D4" i="1"/>
  <c r="H64" i="3" l="1"/>
  <c r="E7" i="13"/>
  <c r="F7" i="13"/>
</calcChain>
</file>

<file path=xl/sharedStrings.xml><?xml version="1.0" encoding="utf-8"?>
<sst xmlns="http://schemas.openxmlformats.org/spreadsheetml/2006/main" count="382" uniqueCount="103">
  <si>
    <t>C3</t>
  </si>
  <si>
    <t>C4</t>
  </si>
  <si>
    <t>C1</t>
  </si>
  <si>
    <t>C2</t>
  </si>
  <si>
    <t>C5</t>
  </si>
  <si>
    <t>HD36981</t>
  </si>
  <si>
    <t>B7III</t>
  </si>
  <si>
    <t>HD36939</t>
  </si>
  <si>
    <t>B7II</t>
  </si>
  <si>
    <t>GSC1.2=0477400909</t>
  </si>
  <si>
    <t>  GSC1.2=0477400891</t>
  </si>
  <si>
    <t>k5V</t>
  </si>
  <si>
    <t>KM Ori</t>
  </si>
  <si>
    <t>N_650RED (DN/s)</t>
  </si>
  <si>
    <t>N_656HIA (DN/S)</t>
  </si>
  <si>
    <t>N_658NII (DN/S)</t>
  </si>
  <si>
    <t>N_672SII (DN/S)</t>
  </si>
  <si>
    <t>Exp</t>
  </si>
  <si>
    <t>Avg</t>
  </si>
  <si>
    <t>G0+F7</t>
  </si>
  <si>
    <t>In SII there's a star to be avoided so only 12 pixels works</t>
  </si>
  <si>
    <t>NII</t>
  </si>
  <si>
    <t>SII</t>
  </si>
  <si>
    <t>K3-M0I E; Really Red</t>
  </si>
  <si>
    <t>Label</t>
  </si>
  <si>
    <t>ID</t>
  </si>
  <si>
    <t>C6</t>
  </si>
  <si>
    <t>BRUN 862</t>
  </si>
  <si>
    <t>Obj. Type</t>
  </si>
  <si>
    <t>Spec. Type</t>
  </si>
  <si>
    <t>*iN, *iC, Em*</t>
  </si>
  <si>
    <t>K3</t>
  </si>
  <si>
    <t>No</t>
  </si>
  <si>
    <t>Use</t>
  </si>
  <si>
    <t>V2149 Ori</t>
  </si>
  <si>
    <t>V*, Em*</t>
  </si>
  <si>
    <t>Emission lines</t>
  </si>
  <si>
    <t>HD 36939</t>
  </si>
  <si>
    <t>B7/8II</t>
  </si>
  <si>
    <t>V*</t>
  </si>
  <si>
    <t>IR Var. 8.16 - 8.24 J, Emission lines</t>
  </si>
  <si>
    <t>K5Ve</t>
  </si>
  <si>
    <t>T-Tauri star; 12.3 - 13.8 p</t>
  </si>
  <si>
    <t>K2III-IV</t>
  </si>
  <si>
    <t>BD-05 1307</t>
  </si>
  <si>
    <t>HI</t>
  </si>
  <si>
    <t>SII/NII</t>
  </si>
  <si>
    <t>HII/SII</t>
  </si>
  <si>
    <t>HII/NII</t>
  </si>
  <si>
    <t>HII</t>
  </si>
  <si>
    <t>SD</t>
  </si>
  <si>
    <t>Yes?</t>
  </si>
  <si>
    <t>Maybe?</t>
  </si>
  <si>
    <t>C7</t>
  </si>
  <si>
    <t>B2-B5</t>
  </si>
  <si>
    <t>Notes</t>
  </si>
  <si>
    <t>Theta 2 Ori B</t>
  </si>
  <si>
    <t>RSS</t>
  </si>
  <si>
    <t>Best Fit EW</t>
  </si>
  <si>
    <t>Manf./Spec. EW</t>
  </si>
  <si>
    <t>RED</t>
  </si>
  <si>
    <t>RED/SII</t>
  </si>
  <si>
    <t>Saturated in RED</t>
  </si>
  <si>
    <t>B7III/IV</t>
  </si>
  <si>
    <t>Var: 7.76 - 7.89 V</t>
  </si>
  <si>
    <t>HD 36981</t>
  </si>
  <si>
    <t>Target</t>
  </si>
  <si>
    <t>Filter</t>
  </si>
  <si>
    <t>Exposure</t>
  </si>
  <si>
    <t>Date(s)</t>
  </si>
  <si>
    <t>Filename</t>
  </si>
  <si>
    <t>M42</t>
  </si>
  <si>
    <t>M33</t>
  </si>
  <si>
    <t>656HIA</t>
  </si>
  <si>
    <t>658NII</t>
  </si>
  <si>
    <t>672SII</t>
  </si>
  <si>
    <t>Calibration Stars</t>
  </si>
  <si>
    <t>M33 - C1</t>
  </si>
  <si>
    <t>G5</t>
  </si>
  <si>
    <t>TYC 2293-637-1</t>
  </si>
  <si>
    <t>mV</t>
  </si>
  <si>
    <t>mB</t>
  </si>
  <si>
    <t>B-V</t>
  </si>
  <si>
    <t>tet02 Ori B</t>
  </si>
  <si>
    <t>Field</t>
  </si>
  <si>
    <t>Star</t>
  </si>
  <si>
    <t>YES</t>
  </si>
  <si>
    <t>TYC 2293-1266-1</t>
  </si>
  <si>
    <t>N/A</t>
  </si>
  <si>
    <t>GSC 02293-00519</t>
  </si>
  <si>
    <t>It doesn't look super red!</t>
  </si>
  <si>
    <t>8.97 - 9.03 V</t>
  </si>
  <si>
    <t>M33 - C2</t>
  </si>
  <si>
    <t>?</t>
  </si>
  <si>
    <t>SEM</t>
  </si>
  <si>
    <t>Pct. SEM</t>
  </si>
  <si>
    <t>O-P</t>
  </si>
  <si>
    <t>Avg. Best Fit</t>
  </si>
  <si>
    <t>Pct. O-P</t>
  </si>
  <si>
    <t>650RED</t>
  </si>
  <si>
    <t>672NII</t>
  </si>
  <si>
    <t>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</si>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</sst>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0"/>
      <color rgb="FF010101"/>
      <name val="Arial Unicode MS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3" fillId="3" borderId="0" xfId="0" applyFont="1" applyFill="1"/>
    <xf numFmtId="164" fontId="3" fillId="3" borderId="0" xfId="0" applyNumberFormat="1" applyFont="1" applyFill="1"/>
    <xf numFmtId="11" fontId="0" fillId="0" borderId="0" xfId="0" applyNumberFormat="1"/>
    <xf numFmtId="2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2" fontId="1" fillId="0" borderId="0" xfId="0" applyNumberFormat="1" applyFont="1"/>
    <xf numFmtId="0" fontId="0" fillId="0" borderId="0" xfId="0" applyAlignment="1">
      <alignment horizontal="left" vertical="top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2" fontId="8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top"/>
    </xf>
    <xf numFmtId="0" fontId="9" fillId="0" borderId="0" xfId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2" fontId="10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7" fillId="0" borderId="2" xfId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9" fillId="0" borderId="0" xfId="1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7" fillId="0" borderId="0" xfId="1" applyBorder="1" applyAlignment="1">
      <alignment horizontal="left" vertical="top"/>
    </xf>
    <xf numFmtId="0" fontId="7" fillId="0" borderId="3" xfId="1" applyBorder="1" applyAlignment="1">
      <alignment horizontal="left" vertical="top"/>
    </xf>
    <xf numFmtId="0" fontId="7" fillId="0" borderId="0" xfId="1" applyFill="1"/>
    <xf numFmtId="164" fontId="0" fillId="0" borderId="2" xfId="0" applyNumberFormat="1" applyBorder="1" applyAlignment="1">
      <alignment horizontal="right" vertical="top"/>
    </xf>
    <xf numFmtId="164" fontId="1" fillId="0" borderId="0" xfId="0" applyNumberFormat="1" applyFont="1" applyBorder="1" applyAlignment="1">
      <alignment horizontal="right" vertical="top"/>
    </xf>
    <xf numFmtId="164" fontId="0" fillId="0" borderId="0" xfId="0" applyNumberForma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11" fillId="0" borderId="2" xfId="0" applyNumberFormat="1" applyFont="1" applyBorder="1" applyAlignment="1">
      <alignment horizontal="right" vertical="top"/>
    </xf>
    <xf numFmtId="164" fontId="11" fillId="0" borderId="0" xfId="0" applyNumberFormat="1" applyFont="1" applyBorder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4" fontId="11" fillId="0" borderId="0" xfId="0" applyNumberFormat="1" applyFont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1" fillId="0" borderId="0" xfId="0" applyNumberFormat="1" applyFont="1" applyAlignment="1">
      <alignment horizontal="right" vertical="top"/>
    </xf>
    <xf numFmtId="164" fontId="8" fillId="0" borderId="0" xfId="0" applyNumberFormat="1" applyFont="1" applyAlignment="1">
      <alignment horizontal="right" vertical="top"/>
    </xf>
    <xf numFmtId="165" fontId="0" fillId="0" borderId="0" xfId="2" applyNumberFormat="1" applyFont="1"/>
    <xf numFmtId="10" fontId="0" fillId="0" borderId="0" xfId="2" applyNumberFormat="1" applyFont="1"/>
    <xf numFmtId="164" fontId="11" fillId="0" borderId="2" xfId="0" applyNumberFormat="1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672SII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'BRUN 862'!$B$37:$B$44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'BRUN 862'!$C$37:$C$44</c:f>
              <c:numCache>
                <c:formatCode>General</c:formatCode>
                <c:ptCount val="8"/>
                <c:pt idx="0">
                  <c:v>923481</c:v>
                </c:pt>
                <c:pt idx="1">
                  <c:v>979900</c:v>
                </c:pt>
                <c:pt idx="2" formatCode="0.00E+00">
                  <c:v>1009000</c:v>
                </c:pt>
                <c:pt idx="3" formatCode="0.00E+00">
                  <c:v>1028000</c:v>
                </c:pt>
                <c:pt idx="4" formatCode="0.00E+00">
                  <c:v>1045000</c:v>
                </c:pt>
                <c:pt idx="5" formatCode="0.00E+00">
                  <c:v>1059000</c:v>
                </c:pt>
                <c:pt idx="6" formatCode="0.00E+00">
                  <c:v>1074000</c:v>
                </c:pt>
                <c:pt idx="7" formatCode="0.00E+00">
                  <c:v>1095000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A-48E2-8D8A-8F65F62D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48576"/>
        <c:axId val="553650216"/>
      </c:scatterChart>
      <c:scatterChart>
        <c:scatterStyle val="lineMarker"/>
        <c:varyColors val="0"/>
        <c:ser>
          <c:idx val="1"/>
          <c:order val="1"/>
          <c:tx>
            <c:v>658NII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'BRUN 862'!$B$24:$B$31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'BRUN 862'!$C$24:$C$31</c:f>
              <c:numCache>
                <c:formatCode>General</c:formatCode>
                <c:ptCount val="8"/>
                <c:pt idx="0">
                  <c:v>74381</c:v>
                </c:pt>
                <c:pt idx="1">
                  <c:v>80668</c:v>
                </c:pt>
                <c:pt idx="2">
                  <c:v>84313</c:v>
                </c:pt>
                <c:pt idx="3">
                  <c:v>86816</c:v>
                </c:pt>
                <c:pt idx="4">
                  <c:v>90428</c:v>
                </c:pt>
                <c:pt idx="5">
                  <c:v>92866</c:v>
                </c:pt>
                <c:pt idx="6">
                  <c:v>97164</c:v>
                </c:pt>
                <c:pt idx="7">
                  <c:v>95130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A-48E2-8D8A-8F65F62D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12336"/>
        <c:axId val="526710040"/>
      </c:scatterChart>
      <c:valAx>
        <c:axId val="553648576"/>
        <c:scaling>
          <c:orientation val="minMax"/>
          <c:max val="2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Aperture</a:t>
                </a:r>
                <a:r>
                  <a:rPr lang="en-US" baseline="0"/>
                  <a:t> Diameter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50216"/>
        <c:crosses val="autoZero"/>
        <c:crossBetween val="midCat"/>
      </c:valAx>
      <c:valAx>
        <c:axId val="553650216"/>
        <c:scaling>
          <c:orientation val="minMax"/>
          <c:max val="1200000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48576"/>
        <c:crosses val="autoZero"/>
        <c:crossBetween val="midCat"/>
      </c:valAx>
      <c:valAx>
        <c:axId val="526710040"/>
        <c:scaling>
          <c:orientation val="minMax"/>
          <c:min val="6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NII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12336"/>
        <c:crosses val="max"/>
        <c:crossBetween val="midCat"/>
      </c:valAx>
      <c:valAx>
        <c:axId val="52671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1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F82FFE-603E-4040-B72A-38787FAD12B9}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D6CB4-117B-45FF-A674-292870F7D5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0.12542</cdr:x>
      <cdr:y>0.08563</cdr:y>
    </cdr:from>
    <cdr:to>
      <cdr:x>0.2979</cdr:x>
      <cdr:y>0.33234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22E969A8-81D5-4504-BB18-41DB031F259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7197" y="538788"/>
          <a:ext cx="1495238" cy="15523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0.46837</cdr:x>
      <cdr:y>0.50306</cdr:y>
    </cdr:from>
    <cdr:to>
      <cdr:x>0.65404</cdr:x>
      <cdr:y>0.76793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AE90D415-8E89-46E2-B8E8-941DE5C545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060151" y="3165379"/>
          <a:ext cx="1609524" cy="166666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dsportal.u-strasbg.fr/?target=TYC%202293-637-1" TargetMode="External"/><Relationship Id="rId3" Type="http://schemas.openxmlformats.org/officeDocument/2006/relationships/hyperlink" Target="http://cdsportal.u-strasbg.fr/?target=HD%2036981" TargetMode="External"/><Relationship Id="rId7" Type="http://schemas.openxmlformats.org/officeDocument/2006/relationships/hyperlink" Target="http://cdsportal.u-strasbg.fr/?target=tet02%20Ori%20B" TargetMode="External"/><Relationship Id="rId2" Type="http://schemas.openxmlformats.org/officeDocument/2006/relationships/hyperlink" Target="http://cdsportal.u-strasbg.fr/?target=V2149%20Ori" TargetMode="External"/><Relationship Id="rId1" Type="http://schemas.openxmlformats.org/officeDocument/2006/relationships/hyperlink" Target="http://cdsportal.u-strasbg.fr/?target=Brun%20862" TargetMode="External"/><Relationship Id="rId6" Type="http://schemas.openxmlformats.org/officeDocument/2006/relationships/hyperlink" Target="http://cdsportal.u-strasbg.fr/?target=BD-05%201307" TargetMode="External"/><Relationship Id="rId5" Type="http://schemas.openxmlformats.org/officeDocument/2006/relationships/hyperlink" Target="http://cdsportal.u-strasbg.fr/?target=KM%20Ori" TargetMode="External"/><Relationship Id="rId10" Type="http://schemas.openxmlformats.org/officeDocument/2006/relationships/hyperlink" Target="http://cdsportal.u-strasbg.fr/?target=GSC%2002293-00519" TargetMode="External"/><Relationship Id="rId4" Type="http://schemas.openxmlformats.org/officeDocument/2006/relationships/hyperlink" Target="http://cdsportal.u-strasbg.fr/?target=HD%2036939" TargetMode="External"/><Relationship Id="rId9" Type="http://schemas.openxmlformats.org/officeDocument/2006/relationships/hyperlink" Target="http://cdsportal.u-strasbg.fr/?target=TYC%202293-1266-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3835-8775-46F0-9407-01F415F0DAB7}">
  <dimension ref="A1:N11"/>
  <sheetViews>
    <sheetView workbookViewId="0">
      <selection activeCell="H7" sqref="H7"/>
    </sheetView>
  </sheetViews>
  <sheetFormatPr defaultRowHeight="14.5"/>
  <cols>
    <col min="1" max="1" width="5.453125" style="21" customWidth="1"/>
    <col min="2" max="2" width="5.26953125" style="21" customWidth="1"/>
    <col min="3" max="3" width="17.6328125" style="21" customWidth="1"/>
    <col min="4" max="4" width="11.7265625" style="21" customWidth="1"/>
    <col min="5" max="5" width="7.90625" style="21" customWidth="1"/>
    <col min="6" max="12" width="7.6328125" style="21" customWidth="1"/>
    <col min="13" max="13" width="8.7265625" style="21"/>
    <col min="14" max="14" width="25.36328125" style="23" customWidth="1"/>
    <col min="15" max="16384" width="8.7265625" style="21"/>
  </cols>
  <sheetData>
    <row r="1" spans="1:14">
      <c r="A1" s="62" t="s">
        <v>84</v>
      </c>
      <c r="B1" s="59" t="s">
        <v>24</v>
      </c>
      <c r="C1" s="59" t="s">
        <v>25</v>
      </c>
      <c r="D1" s="34" t="s">
        <v>28</v>
      </c>
      <c r="E1" s="34" t="s">
        <v>29</v>
      </c>
      <c r="F1" s="59" t="s">
        <v>81</v>
      </c>
      <c r="G1" s="59" t="s">
        <v>80</v>
      </c>
      <c r="H1" s="60" t="s">
        <v>82</v>
      </c>
      <c r="I1" s="60" t="s">
        <v>99</v>
      </c>
      <c r="J1" s="60" t="s">
        <v>73</v>
      </c>
      <c r="K1" s="60" t="s">
        <v>74</v>
      </c>
      <c r="L1" s="60" t="s">
        <v>100</v>
      </c>
      <c r="M1" s="59" t="s">
        <v>33</v>
      </c>
      <c r="N1" s="61" t="s">
        <v>55</v>
      </c>
    </row>
    <row r="2" spans="1:14">
      <c r="A2" s="63" t="s">
        <v>71</v>
      </c>
      <c r="B2" s="64" t="s">
        <v>2</v>
      </c>
      <c r="C2" s="36" t="s">
        <v>27</v>
      </c>
      <c r="D2" s="35" t="s">
        <v>30</v>
      </c>
      <c r="E2" s="35" t="s">
        <v>31</v>
      </c>
      <c r="F2" s="50">
        <v>16.093</v>
      </c>
      <c r="G2" s="50">
        <v>13.728</v>
      </c>
      <c r="H2" s="55">
        <f>F2-G2</f>
        <v>2.3650000000000002</v>
      </c>
      <c r="I2" s="72"/>
      <c r="J2" s="72"/>
      <c r="K2" s="72"/>
      <c r="L2" s="72"/>
      <c r="M2" s="35" t="s">
        <v>32</v>
      </c>
      <c r="N2" s="37" t="s">
        <v>36</v>
      </c>
    </row>
    <row r="3" spans="1:14" ht="29">
      <c r="A3" s="63" t="s">
        <v>71</v>
      </c>
      <c r="B3" s="65" t="s">
        <v>3</v>
      </c>
      <c r="C3" s="39" t="s">
        <v>34</v>
      </c>
      <c r="D3" s="38" t="s">
        <v>35</v>
      </c>
      <c r="E3" s="38" t="s">
        <v>19</v>
      </c>
      <c r="F3" s="51">
        <v>12.141</v>
      </c>
      <c r="G3" s="51">
        <v>11.246</v>
      </c>
      <c r="H3" s="52">
        <f t="shared" ref="H3:H11" si="0">F3-G3</f>
        <v>0.89499999999999957</v>
      </c>
      <c r="I3" s="72" t="s">
        <v>101</v>
      </c>
      <c r="J3" s="72" t="s">
        <v>101</v>
      </c>
      <c r="K3" s="72" t="s">
        <v>101</v>
      </c>
      <c r="L3" s="72" t="s">
        <v>101</v>
      </c>
      <c r="M3" s="40" t="s">
        <v>51</v>
      </c>
      <c r="N3" s="41" t="s">
        <v>40</v>
      </c>
    </row>
    <row r="4" spans="1:14">
      <c r="A4" s="63" t="s">
        <v>71</v>
      </c>
      <c r="B4" s="65" t="s">
        <v>0</v>
      </c>
      <c r="C4" s="47" t="s">
        <v>65</v>
      </c>
      <c r="D4" s="38" t="s">
        <v>39</v>
      </c>
      <c r="E4" s="38" t="s">
        <v>63</v>
      </c>
      <c r="F4" s="51">
        <v>7.76</v>
      </c>
      <c r="G4" s="51">
        <v>7.89</v>
      </c>
      <c r="H4" s="52">
        <f t="shared" si="0"/>
        <v>-0.12999999999999989</v>
      </c>
      <c r="I4" s="72" t="s">
        <v>101</v>
      </c>
      <c r="J4" s="72" t="s">
        <v>101</v>
      </c>
      <c r="K4" s="72" t="s">
        <v>101</v>
      </c>
      <c r="L4" s="72" t="s">
        <v>101</v>
      </c>
      <c r="M4" s="29" t="s">
        <v>86</v>
      </c>
      <c r="N4" s="41" t="s">
        <v>64</v>
      </c>
    </row>
    <row r="5" spans="1:14">
      <c r="A5" s="63" t="s">
        <v>71</v>
      </c>
      <c r="B5" s="65" t="s">
        <v>1</v>
      </c>
      <c r="C5" s="47" t="s">
        <v>37</v>
      </c>
      <c r="D5" s="38" t="s">
        <v>39</v>
      </c>
      <c r="E5" s="38" t="s">
        <v>38</v>
      </c>
      <c r="F5" s="51">
        <v>9</v>
      </c>
      <c r="G5" s="51">
        <v>9.01</v>
      </c>
      <c r="H5" s="52">
        <f t="shared" si="0"/>
        <v>-9.9999999999997868E-3</v>
      </c>
      <c r="I5" s="72" t="s">
        <v>101</v>
      </c>
      <c r="J5" s="72" t="s">
        <v>101</v>
      </c>
      <c r="K5" s="72" t="s">
        <v>101</v>
      </c>
      <c r="L5" s="72" t="s">
        <v>101</v>
      </c>
      <c r="M5" s="29" t="s">
        <v>86</v>
      </c>
      <c r="N5" s="41" t="s">
        <v>91</v>
      </c>
    </row>
    <row r="6" spans="1:14">
      <c r="A6" s="63" t="s">
        <v>71</v>
      </c>
      <c r="B6" s="66" t="s">
        <v>4</v>
      </c>
      <c r="C6" s="47" t="s">
        <v>12</v>
      </c>
      <c r="D6" s="42" t="s">
        <v>35</v>
      </c>
      <c r="E6" s="42" t="s">
        <v>41</v>
      </c>
      <c r="F6" s="52">
        <v>12.882999999999999</v>
      </c>
      <c r="G6" s="52">
        <v>11.917999999999999</v>
      </c>
      <c r="H6" s="56">
        <f t="shared" si="0"/>
        <v>0.96499999999999986</v>
      </c>
      <c r="I6" s="72"/>
      <c r="J6" s="72"/>
      <c r="K6" s="72"/>
      <c r="L6" s="72"/>
      <c r="M6" s="42" t="s">
        <v>32</v>
      </c>
      <c r="N6" s="43" t="s">
        <v>42</v>
      </c>
    </row>
    <row r="7" spans="1:14">
      <c r="A7" s="63" t="s">
        <v>71</v>
      </c>
      <c r="B7" s="66" t="s">
        <v>26</v>
      </c>
      <c r="C7" s="47" t="s">
        <v>44</v>
      </c>
      <c r="D7" s="42" t="s">
        <v>35</v>
      </c>
      <c r="E7" s="42" t="s">
        <v>43</v>
      </c>
      <c r="F7" s="52">
        <v>11.29</v>
      </c>
      <c r="G7" s="52">
        <v>10.19</v>
      </c>
      <c r="H7" s="56">
        <f t="shared" si="0"/>
        <v>1.0999999999999996</v>
      </c>
      <c r="I7" s="72"/>
      <c r="J7" s="72"/>
      <c r="K7" s="72"/>
      <c r="L7" s="72"/>
      <c r="M7" s="42" t="s">
        <v>32</v>
      </c>
      <c r="N7" s="43"/>
    </row>
    <row r="8" spans="1:14">
      <c r="A8" s="63" t="s">
        <v>71</v>
      </c>
      <c r="B8" s="67" t="s">
        <v>53</v>
      </c>
      <c r="C8" s="48" t="s">
        <v>83</v>
      </c>
      <c r="D8" s="44"/>
      <c r="E8" s="44" t="s">
        <v>54</v>
      </c>
      <c r="F8" s="53">
        <v>6.29</v>
      </c>
      <c r="G8" s="53">
        <v>6.38</v>
      </c>
      <c r="H8" s="57">
        <f t="shared" si="0"/>
        <v>-8.9999999999999858E-2</v>
      </c>
      <c r="I8" s="72"/>
      <c r="J8" s="72" t="s">
        <v>101</v>
      </c>
      <c r="K8" s="72" t="s">
        <v>101</v>
      </c>
      <c r="L8" s="72" t="s">
        <v>101</v>
      </c>
      <c r="M8" s="45" t="s">
        <v>52</v>
      </c>
      <c r="N8" s="46" t="s">
        <v>62</v>
      </c>
    </row>
    <row r="9" spans="1:14">
      <c r="A9" s="62" t="s">
        <v>72</v>
      </c>
      <c r="B9" s="62" t="s">
        <v>2</v>
      </c>
      <c r="C9" s="30" t="s">
        <v>79</v>
      </c>
      <c r="D9" s="24" t="s">
        <v>85</v>
      </c>
      <c r="E9" s="24" t="s">
        <v>78</v>
      </c>
      <c r="F9" s="68">
        <v>11.77</v>
      </c>
      <c r="G9" s="68">
        <v>11.37</v>
      </c>
      <c r="H9" s="69">
        <f t="shared" si="0"/>
        <v>0.40000000000000036</v>
      </c>
      <c r="I9" s="72" t="s">
        <v>101</v>
      </c>
      <c r="J9" s="72" t="s">
        <v>101</v>
      </c>
      <c r="K9" s="72" t="s">
        <v>101</v>
      </c>
      <c r="L9" s="72"/>
      <c r="M9" s="29" t="s">
        <v>86</v>
      </c>
      <c r="N9" s="31"/>
    </row>
    <row r="10" spans="1:14">
      <c r="A10" s="63" t="s">
        <v>72</v>
      </c>
      <c r="B10" s="63" t="s">
        <v>3</v>
      </c>
      <c r="C10" s="22" t="s">
        <v>87</v>
      </c>
      <c r="D10" s="21" t="s">
        <v>85</v>
      </c>
      <c r="E10" s="21" t="s">
        <v>88</v>
      </c>
      <c r="F10" s="54">
        <v>12.34</v>
      </c>
      <c r="G10" s="54">
        <v>11.77</v>
      </c>
      <c r="H10" s="54">
        <f t="shared" si="0"/>
        <v>0.57000000000000028</v>
      </c>
      <c r="I10" s="72" t="s">
        <v>101</v>
      </c>
      <c r="J10" s="72" t="s">
        <v>101</v>
      </c>
      <c r="K10" s="72" t="s">
        <v>101</v>
      </c>
      <c r="L10" s="72"/>
      <c r="M10" s="29" t="s">
        <v>86</v>
      </c>
    </row>
    <row r="11" spans="1:14">
      <c r="A11" s="63" t="s">
        <v>72</v>
      </c>
      <c r="B11" s="63" t="s">
        <v>0</v>
      </c>
      <c r="C11" s="49" t="s">
        <v>89</v>
      </c>
      <c r="D11" s="21" t="s">
        <v>85</v>
      </c>
      <c r="E11" s="21" t="s">
        <v>88</v>
      </c>
      <c r="F11" s="54">
        <v>15.9</v>
      </c>
      <c r="G11" s="54">
        <v>11.78</v>
      </c>
      <c r="H11" s="58">
        <f t="shared" si="0"/>
        <v>4.120000000000001</v>
      </c>
      <c r="I11" s="72"/>
      <c r="J11" s="72"/>
      <c r="K11" s="72"/>
      <c r="L11" s="72"/>
      <c r="M11" s="21" t="s">
        <v>102</v>
      </c>
      <c r="N11" s="23" t="s">
        <v>90</v>
      </c>
    </row>
  </sheetData>
  <hyperlinks>
    <hyperlink ref="C2" r:id="rId1" xr:uid="{F2FC093A-3D98-4C36-9BAF-5D5348CF92F3}"/>
    <hyperlink ref="C3" r:id="rId2" xr:uid="{FEB80B1E-771F-45F7-B681-5A13E4978CFF}"/>
    <hyperlink ref="C4" r:id="rId3" xr:uid="{68E542C5-AC8F-48A9-A598-9A7936C42D6E}"/>
    <hyperlink ref="C5" r:id="rId4" xr:uid="{11781D8D-0BCF-48DC-8B2F-895E4E5200FD}"/>
    <hyperlink ref="C6" r:id="rId5" xr:uid="{17D2C4EF-E565-47DF-BABA-499945F3FFEE}"/>
    <hyperlink ref="C7" r:id="rId6" xr:uid="{BA76F6B6-B523-4542-98D5-26F3DAF9036A}"/>
    <hyperlink ref="C8" r:id="rId7" xr:uid="{E8C47900-28E4-4A69-A749-1231E51DC3C2}"/>
    <hyperlink ref="C9" r:id="rId8" xr:uid="{EB598A07-F5A4-4535-9F50-108B85194B2C}"/>
    <hyperlink ref="C10" r:id="rId9" xr:uid="{222289EB-FAD9-420C-A24F-B0063537EA66}"/>
    <hyperlink ref="C11" r:id="rId10" xr:uid="{03896E2B-895C-4BA1-90AE-A1F44E58C2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161A-1A28-464D-9FA4-63EB5C71E1A5}">
  <dimension ref="A2:H65"/>
  <sheetViews>
    <sheetView workbookViewId="0">
      <pane ySplit="3" topLeftCell="A47" activePane="bottomLeft" state="frozen"/>
      <selection pane="bottomLeft" activeCell="D65" sqref="D65:G65"/>
    </sheetView>
  </sheetViews>
  <sheetFormatPr defaultRowHeight="14.5"/>
  <cols>
    <col min="4" max="4" width="14.90625" customWidth="1"/>
    <col min="5" max="6" width="9.36328125" bestFit="1" customWidth="1"/>
  </cols>
  <sheetData>
    <row r="2" spans="1:7">
      <c r="C2" s="1" t="s">
        <v>92</v>
      </c>
    </row>
    <row r="3" spans="1:7">
      <c r="C3" s="3" t="s">
        <v>93</v>
      </c>
      <c r="D3" s="4" t="s">
        <v>87</v>
      </c>
    </row>
    <row r="4" spans="1:7">
      <c r="A4" s="11" t="s">
        <v>13</v>
      </c>
      <c r="B4" s="11"/>
      <c r="C4" s="13">
        <v>1626</v>
      </c>
      <c r="D4" s="14">
        <f>C4/C$6</f>
        <v>24.636363636363637</v>
      </c>
    </row>
    <row r="5" spans="1:7">
      <c r="A5" s="11" t="s">
        <v>14</v>
      </c>
      <c r="B5" s="11"/>
      <c r="C5" s="13">
        <v>240</v>
      </c>
      <c r="D5" s="14">
        <f>C5/C$6</f>
        <v>3.6363636363636362</v>
      </c>
    </row>
    <row r="6" spans="1:7">
      <c r="A6" t="s">
        <v>15</v>
      </c>
      <c r="C6" s="8">
        <v>66</v>
      </c>
      <c r="D6" s="9">
        <f>C6/C$6</f>
        <v>1</v>
      </c>
    </row>
    <row r="7" spans="1:7">
      <c r="A7" t="s">
        <v>16</v>
      </c>
      <c r="C7" s="8">
        <v>217</v>
      </c>
      <c r="D7" s="9">
        <f>C7/C$6</f>
        <v>3.2878787878787881</v>
      </c>
      <c r="E7" s="7" t="e">
        <f>AVERAGE(#REF!,D7,#REF!,#REF!,#REF!)</f>
        <v>#REF!</v>
      </c>
      <c r="F7" t="e">
        <f>STDEV(#REF!,D7,#REF!,#REF!,#REF!)</f>
        <v>#REF!</v>
      </c>
      <c r="G7" t="e">
        <f>1.96*F7/SQRT(5)</f>
        <v>#REF!</v>
      </c>
    </row>
    <row r="10" spans="1:7">
      <c r="B10" s="1" t="s">
        <v>45</v>
      </c>
    </row>
    <row r="11" spans="1:7">
      <c r="B11">
        <v>6</v>
      </c>
    </row>
    <row r="12" spans="1:7">
      <c r="B12">
        <v>8</v>
      </c>
    </row>
    <row r="13" spans="1:7">
      <c r="B13">
        <v>10</v>
      </c>
      <c r="C13" s="15">
        <v>771735</v>
      </c>
    </row>
    <row r="14" spans="1:7">
      <c r="B14">
        <v>12</v>
      </c>
      <c r="C14" s="15">
        <v>777930</v>
      </c>
    </row>
    <row r="15" spans="1:7">
      <c r="B15">
        <v>14</v>
      </c>
      <c r="C15" s="15">
        <v>786103</v>
      </c>
    </row>
    <row r="16" spans="1:7">
      <c r="B16">
        <v>16</v>
      </c>
      <c r="C16" s="15">
        <v>787305</v>
      </c>
    </row>
    <row r="17" spans="2:3">
      <c r="B17">
        <v>18</v>
      </c>
      <c r="C17" s="15">
        <v>798213</v>
      </c>
    </row>
    <row r="18" spans="2:3">
      <c r="B18">
        <v>20</v>
      </c>
      <c r="C18" s="15">
        <v>813814</v>
      </c>
    </row>
    <row r="19" spans="2:3">
      <c r="B19" t="s">
        <v>18</v>
      </c>
      <c r="C19">
        <f>AVERAGE(C11:C18)</f>
        <v>789183.33333333337</v>
      </c>
    </row>
    <row r="20" spans="2:3">
      <c r="B20" t="s">
        <v>17</v>
      </c>
      <c r="C20">
        <v>11610</v>
      </c>
    </row>
    <row r="21" spans="2:3">
      <c r="C21">
        <f>C19/C20</f>
        <v>67.974447315532586</v>
      </c>
    </row>
    <row r="23" spans="2:3">
      <c r="B23" s="1" t="s">
        <v>21</v>
      </c>
    </row>
    <row r="24" spans="2:3">
      <c r="B24">
        <v>6</v>
      </c>
      <c r="C24" s="15"/>
    </row>
    <row r="25" spans="2:3">
      <c r="B25">
        <v>8</v>
      </c>
      <c r="C25" s="15"/>
    </row>
    <row r="26" spans="2:3">
      <c r="B26">
        <v>10</v>
      </c>
      <c r="C26" s="15"/>
    </row>
    <row r="27" spans="2:3">
      <c r="B27">
        <v>12</v>
      </c>
      <c r="C27" s="15"/>
    </row>
    <row r="28" spans="2:3">
      <c r="B28">
        <v>14</v>
      </c>
      <c r="C28" s="15"/>
    </row>
    <row r="29" spans="2:3">
      <c r="B29">
        <v>16</v>
      </c>
      <c r="C29" s="15"/>
    </row>
    <row r="30" spans="2:3">
      <c r="B30">
        <v>18</v>
      </c>
      <c r="C30" s="15"/>
    </row>
    <row r="31" spans="2:3">
      <c r="B31">
        <v>20</v>
      </c>
      <c r="C31" s="15"/>
    </row>
    <row r="32" spans="2:3">
      <c r="B32" t="s">
        <v>18</v>
      </c>
      <c r="C32" t="e">
        <f>AVERAGE(C24:C30)</f>
        <v>#DIV/0!</v>
      </c>
    </row>
    <row r="33" spans="2:6">
      <c r="B33" t="s">
        <v>17</v>
      </c>
      <c r="C33">
        <v>3162</v>
      </c>
    </row>
    <row r="34" spans="2:6">
      <c r="C34" t="e">
        <f>C32/C33</f>
        <v>#DIV/0!</v>
      </c>
    </row>
    <row r="36" spans="2:6">
      <c r="B36" s="1" t="s">
        <v>22</v>
      </c>
    </row>
    <row r="37" spans="2:6">
      <c r="B37">
        <v>6</v>
      </c>
      <c r="D37" s="16"/>
      <c r="E37" s="16"/>
      <c r="F37" s="16"/>
    </row>
    <row r="38" spans="2:6">
      <c r="B38">
        <v>8</v>
      </c>
      <c r="C38" s="15"/>
      <c r="D38" s="16"/>
      <c r="E38" s="16"/>
      <c r="F38" s="16"/>
    </row>
    <row r="39" spans="2:6">
      <c r="B39">
        <v>10</v>
      </c>
      <c r="C39" s="15">
        <v>432526</v>
      </c>
      <c r="D39" s="16"/>
      <c r="E39" s="16"/>
      <c r="F39" s="16"/>
    </row>
    <row r="40" spans="2:6">
      <c r="B40">
        <v>12</v>
      </c>
      <c r="C40" s="15">
        <v>435773</v>
      </c>
      <c r="D40" s="16"/>
      <c r="E40" s="16"/>
      <c r="F40" s="16"/>
    </row>
    <row r="41" spans="2:6">
      <c r="B41">
        <v>14</v>
      </c>
      <c r="C41" s="15">
        <v>435279</v>
      </c>
      <c r="D41" s="16"/>
      <c r="E41" s="16"/>
      <c r="F41" s="16"/>
    </row>
    <row r="42" spans="2:6">
      <c r="B42">
        <v>16</v>
      </c>
      <c r="C42" s="15">
        <v>437654</v>
      </c>
      <c r="D42" s="16"/>
      <c r="E42" s="16"/>
      <c r="F42" s="16"/>
    </row>
    <row r="43" spans="2:6">
      <c r="B43">
        <v>18</v>
      </c>
      <c r="C43" s="15">
        <v>437322</v>
      </c>
      <c r="D43" s="16"/>
      <c r="E43" s="16"/>
      <c r="F43" s="16"/>
    </row>
    <row r="44" spans="2:6">
      <c r="B44">
        <v>20</v>
      </c>
      <c r="C44" s="15">
        <v>436959</v>
      </c>
      <c r="D44" s="16"/>
      <c r="E44" s="16"/>
      <c r="F44" s="16"/>
    </row>
    <row r="45" spans="2:6">
      <c r="B45" t="s">
        <v>18</v>
      </c>
      <c r="C45">
        <f>AVERAGE(C37:C44)</f>
        <v>435918.83333333331</v>
      </c>
      <c r="D45" s="16"/>
      <c r="E45" s="16"/>
      <c r="F45" s="16"/>
    </row>
    <row r="46" spans="2:6">
      <c r="B46" t="s">
        <v>17</v>
      </c>
      <c r="C46" s="15">
        <v>7680</v>
      </c>
      <c r="D46" s="7"/>
      <c r="E46" s="7"/>
      <c r="F46" s="7"/>
    </row>
    <row r="47" spans="2:6">
      <c r="C47">
        <f>C45/C46</f>
        <v>56.760264756944444</v>
      </c>
    </row>
    <row r="49" spans="2:8">
      <c r="B49" s="1" t="s">
        <v>60</v>
      </c>
      <c r="D49" t="s">
        <v>46</v>
      </c>
      <c r="E49" t="s">
        <v>47</v>
      </c>
      <c r="F49" t="s">
        <v>48</v>
      </c>
      <c r="G49" t="s">
        <v>61</v>
      </c>
    </row>
    <row r="50" spans="2:8">
      <c r="B50">
        <v>6</v>
      </c>
      <c r="D50" s="16"/>
      <c r="E50" s="16"/>
      <c r="F50" s="16"/>
    </row>
    <row r="51" spans="2:8">
      <c r="B51">
        <v>8</v>
      </c>
      <c r="C51" s="15"/>
      <c r="D51" s="16"/>
      <c r="E51" s="16"/>
      <c r="F51" s="16"/>
      <c r="G51" s="15"/>
    </row>
    <row r="52" spans="2:8">
      <c r="B52">
        <v>10</v>
      </c>
      <c r="C52" s="15">
        <v>805672</v>
      </c>
      <c r="D52" s="16"/>
      <c r="E52" s="16">
        <f t="shared" ref="E52:E57" si="0">1/(C39/C13*$C$20/$C$46)</f>
        <v>1.1802798107543977</v>
      </c>
      <c r="F52" s="16"/>
      <c r="G52" s="16">
        <f>C52/C39*(C$46/C$59)</f>
        <v>7.947577409604663</v>
      </c>
    </row>
    <row r="53" spans="2:8">
      <c r="B53">
        <v>12</v>
      </c>
      <c r="C53" s="15">
        <v>811086</v>
      </c>
      <c r="D53" s="16"/>
      <c r="E53" s="16">
        <f t="shared" si="0"/>
        <v>1.1808893389964055</v>
      </c>
      <c r="F53" s="16"/>
      <c r="G53" s="16">
        <f>C53/C40*(C$46/C$59)</f>
        <v>7.9413676386559056</v>
      </c>
    </row>
    <row r="54" spans="2:8">
      <c r="B54">
        <v>14</v>
      </c>
      <c r="C54" s="15">
        <v>814660</v>
      </c>
      <c r="D54" s="16"/>
      <c r="E54" s="16">
        <f t="shared" si="0"/>
        <v>1.1946501413186694</v>
      </c>
      <c r="F54" s="16"/>
      <c r="G54" s="16">
        <f t="shared" ref="G54:G57" si="1">C54/C41*(C$46/C$59)</f>
        <v>7.9854131870976239</v>
      </c>
    </row>
    <row r="55" spans="2:8">
      <c r="B55">
        <v>16</v>
      </c>
      <c r="C55" s="15">
        <v>815847</v>
      </c>
      <c r="D55" s="16"/>
      <c r="E55" s="16">
        <f t="shared" si="0"/>
        <v>1.1899839606403175</v>
      </c>
      <c r="F55" s="16"/>
      <c r="G55" s="16">
        <f t="shared" si="1"/>
        <v>7.953651057684838</v>
      </c>
    </row>
    <row r="56" spans="2:8">
      <c r="B56">
        <v>18</v>
      </c>
      <c r="C56" s="15">
        <v>819548</v>
      </c>
      <c r="D56" s="16"/>
      <c r="E56" s="16">
        <f t="shared" si="0"/>
        <v>1.2073869327796323</v>
      </c>
      <c r="F56" s="16"/>
      <c r="G56" s="16">
        <f t="shared" si="1"/>
        <v>7.9957974520681177</v>
      </c>
    </row>
    <row r="57" spans="2:8">
      <c r="B57">
        <v>20</v>
      </c>
      <c r="C57" s="15">
        <v>820566</v>
      </c>
      <c r="D57" s="16"/>
      <c r="E57" s="16">
        <f t="shared" si="0"/>
        <v>1.2320078303930653</v>
      </c>
      <c r="F57" s="16"/>
      <c r="G57" s="16">
        <f t="shared" si="1"/>
        <v>8.0123801088889337</v>
      </c>
    </row>
    <row r="58" spans="2:8">
      <c r="B58" t="s">
        <v>18</v>
      </c>
      <c r="C58">
        <f>AVERAGE(C50:C57)</f>
        <v>814563.16666666663</v>
      </c>
      <c r="D58" s="16"/>
      <c r="E58" s="16">
        <f>AVERAGE(E51:E53)</f>
        <v>1.1805845748754016</v>
      </c>
      <c r="F58" s="16"/>
      <c r="G58" s="16">
        <f t="shared" ref="G58" si="2">AVERAGE(G53:G57)</f>
        <v>7.9777218888790831</v>
      </c>
    </row>
    <row r="59" spans="2:8">
      <c r="B59" t="s">
        <v>17</v>
      </c>
      <c r="C59" s="15">
        <v>1800</v>
      </c>
      <c r="D59" s="7"/>
      <c r="E59" s="7">
        <f t="shared" ref="E59" si="3">STDEV(E50:E53)</f>
        <v>4.3100155324841131E-4</v>
      </c>
      <c r="F59" s="7"/>
      <c r="G59" s="7">
        <f t="shared" ref="G59" si="4">STDEV(G53:G58)</f>
        <v>2.6412537518420164E-2</v>
      </c>
      <c r="H59" t="s">
        <v>50</v>
      </c>
    </row>
    <row r="60" spans="2:8">
      <c r="C60">
        <f>C58/C59</f>
        <v>452.53509259259255</v>
      </c>
      <c r="G60" s="1"/>
    </row>
    <row r="61" spans="2:8">
      <c r="D61" s="33" t="s">
        <v>21</v>
      </c>
      <c r="E61" s="33" t="s">
        <v>22</v>
      </c>
      <c r="F61" s="33" t="s">
        <v>49</v>
      </c>
      <c r="G61" s="33" t="s">
        <v>60</v>
      </c>
      <c r="H61" s="33" t="s">
        <v>57</v>
      </c>
    </row>
    <row r="62" spans="2:8">
      <c r="C62" s="28" t="s">
        <v>59</v>
      </c>
      <c r="D62" s="20">
        <v>1.58</v>
      </c>
      <c r="E62" s="20">
        <v>3.77</v>
      </c>
      <c r="F62" s="20">
        <v>4.57</v>
      </c>
      <c r="G62" s="32">
        <v>18.399999999999999</v>
      </c>
    </row>
    <row r="63" spans="2:8">
      <c r="C63" s="27" t="s">
        <v>58</v>
      </c>
      <c r="D63" s="25"/>
      <c r="E63" s="25">
        <v>3.77</v>
      </c>
      <c r="F63" s="16">
        <f>E63*E58</f>
        <v>4.4508038472802642</v>
      </c>
      <c r="G63" s="16">
        <f>E63*G58</f>
        <v>30.076011521074143</v>
      </c>
    </row>
    <row r="64" spans="2:8">
      <c r="D64" s="16"/>
      <c r="E64" s="16">
        <f t="shared" ref="E64:G64" si="5">E63-E62</f>
        <v>0</v>
      </c>
      <c r="F64" s="16">
        <f t="shared" si="5"/>
        <v>-0.11919615271973605</v>
      </c>
      <c r="G64" s="16">
        <f t="shared" si="5"/>
        <v>11.676011521074145</v>
      </c>
      <c r="H64" s="26">
        <f>SQRT(SUMSQ(D64:G64))</f>
        <v>11.676619920297112</v>
      </c>
    </row>
    <row r="65" spans="4:7">
      <c r="D65" s="70" t="e">
        <f>D64/D63</f>
        <v>#DIV/0!</v>
      </c>
      <c r="E65" s="70">
        <f t="shared" ref="E65:G65" si="6">E64/E63</f>
        <v>0</v>
      </c>
      <c r="F65" s="70">
        <f t="shared" si="6"/>
        <v>-2.6780814614549411E-2</v>
      </c>
      <c r="G65" s="70">
        <f t="shared" si="6"/>
        <v>0.38821675250698745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B094-0F7C-4082-A2AA-1FD784B9D3ED}">
  <dimension ref="A2:O39"/>
  <sheetViews>
    <sheetView workbookViewId="0">
      <pane ySplit="3" topLeftCell="A4" activePane="bottomLeft" state="frozen"/>
      <selection activeCell="G15" sqref="G15"/>
      <selection pane="bottomLeft" activeCell="C4" sqref="C4"/>
    </sheetView>
  </sheetViews>
  <sheetFormatPr defaultRowHeight="14.5"/>
  <cols>
    <col min="12" max="12" width="9.36328125" bestFit="1" customWidth="1"/>
  </cols>
  <sheetData>
    <row r="2" spans="1:15">
      <c r="C2" s="1" t="s">
        <v>2</v>
      </c>
      <c r="E2" s="1" t="s">
        <v>3</v>
      </c>
      <c r="G2" s="1" t="s">
        <v>0</v>
      </c>
      <c r="I2" s="1" t="s">
        <v>1</v>
      </c>
      <c r="K2" s="1" t="s">
        <v>4</v>
      </c>
    </row>
    <row r="3" spans="1:15" ht="43.5">
      <c r="C3" s="2" t="s">
        <v>23</v>
      </c>
      <c r="D3" s="2" t="s">
        <v>9</v>
      </c>
      <c r="E3" s="3" t="s">
        <v>19</v>
      </c>
      <c r="F3" s="4" t="s">
        <v>10</v>
      </c>
      <c r="G3" t="s">
        <v>5</v>
      </c>
      <c r="H3" t="s">
        <v>6</v>
      </c>
      <c r="I3" t="s">
        <v>7</v>
      </c>
      <c r="J3" t="s">
        <v>8</v>
      </c>
      <c r="K3" s="5" t="s">
        <v>11</v>
      </c>
      <c r="L3" s="6" t="s">
        <v>12</v>
      </c>
    </row>
    <row r="4" spans="1:15">
      <c r="A4" s="11" t="s">
        <v>13</v>
      </c>
      <c r="B4" s="11"/>
      <c r="C4" s="11">
        <v>551.4</v>
      </c>
      <c r="D4" s="12">
        <f>C4/C$6</f>
        <v>18.704206241519675</v>
      </c>
      <c r="E4" s="13">
        <v>1626</v>
      </c>
      <c r="F4" s="14">
        <f>E4/E$6</f>
        <v>24.636363636363637</v>
      </c>
      <c r="G4" s="11">
        <v>15635</v>
      </c>
      <c r="H4" s="12">
        <f>G4/G$6</f>
        <v>25.340356564019448</v>
      </c>
      <c r="I4" s="11">
        <v>6031</v>
      </c>
      <c r="J4" s="12">
        <f>I4/I$6</f>
        <v>25.773504273504273</v>
      </c>
      <c r="K4" s="14">
        <v>1051</v>
      </c>
      <c r="L4" s="14">
        <f>K4/K$6</f>
        <v>17.723440134907253</v>
      </c>
    </row>
    <row r="5" spans="1:15">
      <c r="A5" s="11" t="s">
        <v>14</v>
      </c>
      <c r="B5" s="11"/>
      <c r="C5" s="11">
        <v>99.86</v>
      </c>
      <c r="D5" s="12">
        <f>C5/C$6</f>
        <v>3.3873812754409767</v>
      </c>
      <c r="E5" s="13">
        <v>240</v>
      </c>
      <c r="F5" s="14">
        <f>E5/E$6</f>
        <v>3.6363636363636362</v>
      </c>
      <c r="G5" s="11">
        <v>2118</v>
      </c>
      <c r="H5" s="12">
        <f>G5/G$6</f>
        <v>3.4327390599675849</v>
      </c>
      <c r="I5" s="11">
        <v>739</v>
      </c>
      <c r="J5" s="12">
        <f>I5/I$6</f>
        <v>3.158119658119658</v>
      </c>
      <c r="K5" s="14">
        <v>164</v>
      </c>
      <c r="L5" s="14">
        <f t="shared" ref="L5:L7" si="0">K5/K$6</f>
        <v>2.7655986509274877</v>
      </c>
    </row>
    <row r="6" spans="1:15">
      <c r="A6" t="s">
        <v>15</v>
      </c>
      <c r="C6">
        <v>29.48</v>
      </c>
      <c r="D6" s="7">
        <f>C6/C$6</f>
        <v>1</v>
      </c>
      <c r="E6" s="8">
        <v>66</v>
      </c>
      <c r="F6" s="9">
        <f>E6/E$6</f>
        <v>1</v>
      </c>
      <c r="G6">
        <v>617</v>
      </c>
      <c r="H6" s="10">
        <f>G6/G$6</f>
        <v>1</v>
      </c>
      <c r="I6">
        <v>234</v>
      </c>
      <c r="J6" s="10">
        <f>I6/I$6</f>
        <v>1</v>
      </c>
      <c r="K6" s="9">
        <v>59.3</v>
      </c>
      <c r="L6" s="9">
        <f t="shared" si="0"/>
        <v>1</v>
      </c>
    </row>
    <row r="7" spans="1:15">
      <c r="A7" t="s">
        <v>16</v>
      </c>
      <c r="C7">
        <v>88.9</v>
      </c>
      <c r="D7" s="7">
        <f>C7/C$6</f>
        <v>3.0156037991858891</v>
      </c>
      <c r="E7" s="8">
        <v>217</v>
      </c>
      <c r="F7" s="9">
        <f>E7/E$6</f>
        <v>3.2878787878787881</v>
      </c>
      <c r="G7">
        <v>1740</v>
      </c>
      <c r="H7" s="7">
        <f>G7/G$6</f>
        <v>2.8200972447325769</v>
      </c>
      <c r="I7">
        <v>631</v>
      </c>
      <c r="J7" s="7">
        <f>I7/I$6</f>
        <v>2.6965811965811968</v>
      </c>
      <c r="K7" s="9">
        <v>124.5</v>
      </c>
      <c r="L7" s="9">
        <f t="shared" si="0"/>
        <v>2.0994940978077574</v>
      </c>
      <c r="M7" s="7">
        <f>AVERAGE(D7,F7,H7,J7,L7)</f>
        <v>2.7839310252372416</v>
      </c>
      <c r="N7">
        <f>STDEV(D7,F7,H7,J7,L7)</f>
        <v>0.44300889305081298</v>
      </c>
      <c r="O7">
        <f>1.96*N7/SQRT(5)</f>
        <v>0.38831441580343234</v>
      </c>
    </row>
    <row r="11" spans="1:15">
      <c r="B11" s="1" t="s">
        <v>21</v>
      </c>
    </row>
    <row r="12" spans="1:15">
      <c r="B12">
        <v>6</v>
      </c>
      <c r="C12">
        <v>74381</v>
      </c>
      <c r="K12">
        <v>165000</v>
      </c>
    </row>
    <row r="13" spans="1:15">
      <c r="B13">
        <v>8</v>
      </c>
      <c r="C13">
        <v>80668</v>
      </c>
      <c r="K13">
        <v>192800</v>
      </c>
    </row>
    <row r="14" spans="1:15">
      <c r="B14">
        <v>10</v>
      </c>
      <c r="C14">
        <v>84313</v>
      </c>
      <c r="K14">
        <v>213488</v>
      </c>
    </row>
    <row r="15" spans="1:15">
      <c r="B15">
        <v>12</v>
      </c>
      <c r="C15">
        <v>86816</v>
      </c>
      <c r="K15">
        <v>253566</v>
      </c>
    </row>
    <row r="16" spans="1:15">
      <c r="B16">
        <v>14</v>
      </c>
      <c r="C16" s="19">
        <v>90428</v>
      </c>
      <c r="E16" s="15">
        <v>1944000</v>
      </c>
      <c r="I16" s="15">
        <v>731786</v>
      </c>
      <c r="K16">
        <v>286893</v>
      </c>
    </row>
    <row r="17" spans="2:12">
      <c r="B17">
        <v>16</v>
      </c>
      <c r="C17" s="17">
        <v>92866</v>
      </c>
      <c r="E17" s="15"/>
      <c r="I17" s="15"/>
      <c r="K17">
        <v>313849</v>
      </c>
    </row>
    <row r="18" spans="2:12">
      <c r="B18">
        <v>18</v>
      </c>
      <c r="C18" s="17">
        <v>97164</v>
      </c>
      <c r="E18" s="15"/>
      <c r="I18" s="15"/>
      <c r="K18">
        <v>345076</v>
      </c>
    </row>
    <row r="19" spans="2:12">
      <c r="B19">
        <v>20</v>
      </c>
      <c r="C19" s="17">
        <v>95130</v>
      </c>
      <c r="E19" s="15"/>
      <c r="I19" s="15"/>
      <c r="K19">
        <v>373181</v>
      </c>
    </row>
    <row r="20" spans="2:12">
      <c r="B20" t="s">
        <v>18</v>
      </c>
      <c r="C20">
        <f>AVERAGE(C17:C19)</f>
        <v>95053.333333333328</v>
      </c>
      <c r="E20">
        <f>AVERAGE(E12:E16)</f>
        <v>1944000</v>
      </c>
      <c r="I20">
        <f>AVERAGE(I12:I16)</f>
        <v>731786</v>
      </c>
      <c r="K20">
        <f>AVERAGE(K12:K16)</f>
        <v>222349.4</v>
      </c>
    </row>
    <row r="21" spans="2:12">
      <c r="B21" t="s">
        <v>17</v>
      </c>
      <c r="C21">
        <v>3162</v>
      </c>
      <c r="E21">
        <v>3162</v>
      </c>
      <c r="I21">
        <v>3162</v>
      </c>
      <c r="K21">
        <v>3162</v>
      </c>
    </row>
    <row r="22" spans="2:12">
      <c r="C22">
        <f>C20/C21</f>
        <v>30.061142736664557</v>
      </c>
      <c r="E22">
        <f>E20/E21</f>
        <v>614.80075901328269</v>
      </c>
      <c r="I22">
        <f>I20/I21</f>
        <v>231.43137254901961</v>
      </c>
      <c r="K22">
        <f>K20/K21</f>
        <v>70.319228336495883</v>
      </c>
    </row>
    <row r="24" spans="2:12">
      <c r="B24" s="1" t="s">
        <v>22</v>
      </c>
    </row>
    <row r="25" spans="2:12">
      <c r="B25">
        <v>6</v>
      </c>
      <c r="C25">
        <v>923481</v>
      </c>
      <c r="D25" s="16">
        <f t="shared" ref="D25:D32" si="1">C25/C12*C$21/C$34</f>
        <v>3.4078097271144512</v>
      </c>
      <c r="K25" s="15">
        <v>1364000</v>
      </c>
      <c r="L25" s="16">
        <f t="shared" ref="L25:L28" si="2">K25/K12*K$21/K$34</f>
        <v>2.2690277777777781</v>
      </c>
    </row>
    <row r="26" spans="2:12">
      <c r="B26">
        <v>8</v>
      </c>
      <c r="C26">
        <v>979900</v>
      </c>
      <c r="D26" s="16">
        <f t="shared" si="1"/>
        <v>3.3341862376241718</v>
      </c>
      <c r="K26" s="15">
        <v>1427000</v>
      </c>
      <c r="L26" s="16">
        <f t="shared" si="2"/>
        <v>2.0315444545297372</v>
      </c>
    </row>
    <row r="27" spans="2:12">
      <c r="B27">
        <v>10</v>
      </c>
      <c r="C27" s="15">
        <v>1009000</v>
      </c>
      <c r="D27" s="16">
        <f t="shared" si="1"/>
        <v>3.2847779009958926</v>
      </c>
      <c r="K27" s="15">
        <v>1464000</v>
      </c>
      <c r="L27" s="16">
        <f t="shared" si="2"/>
        <v>1.8822486509780409</v>
      </c>
    </row>
    <row r="28" spans="2:12">
      <c r="B28">
        <v>12</v>
      </c>
      <c r="C28" s="18">
        <v>1028000</v>
      </c>
      <c r="D28" s="16">
        <f t="shared" si="1"/>
        <v>3.2501449425605111</v>
      </c>
      <c r="K28" s="15">
        <v>1485000</v>
      </c>
      <c r="L28" s="16">
        <f t="shared" si="2"/>
        <v>1.6074771952864344</v>
      </c>
    </row>
    <row r="29" spans="2:12">
      <c r="B29">
        <v>14</v>
      </c>
      <c r="C29" s="15">
        <v>1045000</v>
      </c>
      <c r="D29" s="16">
        <f t="shared" si="1"/>
        <v>3.1719238418041611</v>
      </c>
      <c r="E29" s="15">
        <v>19290000</v>
      </c>
      <c r="F29" s="16">
        <f>E29/E16*E$21/E$34</f>
        <v>2.7236127186213994</v>
      </c>
      <c r="G29" s="15"/>
      <c r="I29" s="15">
        <v>7046000</v>
      </c>
      <c r="J29" s="16">
        <f>I29/I16*I$21/I$34</f>
        <v>2.6428220932531277</v>
      </c>
      <c r="K29" s="15">
        <v>1517000</v>
      </c>
      <c r="L29" s="16">
        <f>K29/K16*K$21/K$34</f>
        <v>1.451359551586596</v>
      </c>
    </row>
    <row r="30" spans="2:12">
      <c r="B30">
        <v>16</v>
      </c>
      <c r="C30" s="15">
        <v>1059000</v>
      </c>
      <c r="D30" s="16">
        <f t="shared" si="1"/>
        <v>3.1300307701419245</v>
      </c>
      <c r="E30" s="15"/>
      <c r="F30" s="16"/>
      <c r="G30" s="15"/>
      <c r="I30" s="15"/>
      <c r="J30" s="16"/>
      <c r="K30" s="15">
        <v>1567000</v>
      </c>
      <c r="L30" s="16">
        <f t="shared" ref="L30:L32" si="3">K30/K17*K$21/K$34</f>
        <v>1.3704324505308816</v>
      </c>
    </row>
    <row r="31" spans="2:12">
      <c r="B31">
        <v>18</v>
      </c>
      <c r="C31" s="15">
        <v>1074000</v>
      </c>
      <c r="D31" s="16">
        <f t="shared" si="1"/>
        <v>3.0339490449137543</v>
      </c>
      <c r="E31" s="15"/>
      <c r="F31" s="16"/>
      <c r="G31" s="15"/>
      <c r="I31" s="15"/>
      <c r="J31" s="16"/>
      <c r="K31" s="15">
        <v>1599000</v>
      </c>
      <c r="L31" s="16">
        <f t="shared" si="3"/>
        <v>1.2718710878183357</v>
      </c>
    </row>
    <row r="32" spans="2:12">
      <c r="B32">
        <v>20</v>
      </c>
      <c r="C32" s="15">
        <v>1095000</v>
      </c>
      <c r="D32" s="16">
        <f t="shared" si="1"/>
        <v>3.1594101492694211</v>
      </c>
      <c r="E32" s="15"/>
      <c r="F32" s="16"/>
      <c r="G32" s="15"/>
      <c r="I32" s="15"/>
      <c r="J32" s="16"/>
      <c r="K32" s="15">
        <v>1617000</v>
      </c>
      <c r="L32" s="16">
        <f t="shared" si="3"/>
        <v>1.1893231769570263</v>
      </c>
    </row>
    <row r="33" spans="2:11">
      <c r="B33" t="s">
        <v>18</v>
      </c>
      <c r="C33" s="15">
        <f>AVERAGE(C28)</f>
        <v>1028000</v>
      </c>
      <c r="E33">
        <f>AVERAGE(E25:E29)</f>
        <v>19290000</v>
      </c>
      <c r="I33">
        <f>AVERAGE(I25:I29)</f>
        <v>7046000</v>
      </c>
      <c r="K33">
        <f>AVERAGE(K25:K29)</f>
        <v>1451400</v>
      </c>
    </row>
    <row r="34" spans="2:11">
      <c r="B34" t="s">
        <v>17</v>
      </c>
      <c r="C34" s="15">
        <v>11520</v>
      </c>
      <c r="E34" s="15">
        <v>11520</v>
      </c>
      <c r="I34" s="15">
        <v>11520</v>
      </c>
      <c r="K34" s="15">
        <v>11520</v>
      </c>
    </row>
    <row r="35" spans="2:11">
      <c r="C35">
        <f>C33/C34</f>
        <v>89.236111111111114</v>
      </c>
      <c r="E35">
        <f>E33/E34</f>
        <v>1674.4791666666667</v>
      </c>
      <c r="I35">
        <f>I33/I34</f>
        <v>611.63194444444446</v>
      </c>
      <c r="K35">
        <f>K33/K34</f>
        <v>125.98958333333333</v>
      </c>
    </row>
    <row r="37" spans="2:11">
      <c r="C37" s="20">
        <f>C35/C22</f>
        <v>2.9684869897601347</v>
      </c>
      <c r="D37" s="20"/>
      <c r="E37" s="20">
        <f>E35/E22</f>
        <v>2.7236127186213994</v>
      </c>
      <c r="F37" s="20"/>
      <c r="G37" s="20"/>
      <c r="H37" s="20"/>
      <c r="I37" s="20">
        <f>I35/I22</f>
        <v>2.6428220932531277</v>
      </c>
      <c r="J37" s="20"/>
      <c r="K37" s="20">
        <f>K35/K22</f>
        <v>1.7916804025556174</v>
      </c>
    </row>
    <row r="39" spans="2:11">
      <c r="B3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C82D-E7D1-4E50-B8C2-B0EE5C36B10E}">
  <dimension ref="A1:F8"/>
  <sheetViews>
    <sheetView workbookViewId="0">
      <selection activeCell="F1" sqref="F1"/>
    </sheetView>
  </sheetViews>
  <sheetFormatPr defaultRowHeight="14.5"/>
  <sheetData>
    <row r="1" spans="1:6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76</v>
      </c>
    </row>
    <row r="2" spans="1:6">
      <c r="A2" t="s">
        <v>71</v>
      </c>
      <c r="B2" t="s">
        <v>60</v>
      </c>
    </row>
    <row r="3" spans="1:6">
      <c r="A3" t="s">
        <v>71</v>
      </c>
      <c r="B3" t="s">
        <v>73</v>
      </c>
    </row>
    <row r="4" spans="1:6">
      <c r="A4" t="s">
        <v>71</v>
      </c>
      <c r="B4" t="s">
        <v>74</v>
      </c>
    </row>
    <row r="5" spans="1:6">
      <c r="A5" t="s">
        <v>71</v>
      </c>
      <c r="B5" t="s">
        <v>75</v>
      </c>
    </row>
    <row r="6" spans="1:6">
      <c r="A6" t="s">
        <v>72</v>
      </c>
      <c r="B6" t="s">
        <v>60</v>
      </c>
    </row>
    <row r="7" spans="1:6">
      <c r="A7" t="s">
        <v>72</v>
      </c>
      <c r="B7" t="s">
        <v>73</v>
      </c>
    </row>
    <row r="8" spans="1:6">
      <c r="A8" t="s">
        <v>72</v>
      </c>
      <c r="B8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13AF-14D4-4DE8-BCBE-7C6DF2569932}">
  <dimension ref="B1:G9"/>
  <sheetViews>
    <sheetView tabSelected="1" workbookViewId="0">
      <selection activeCell="C2" sqref="C2:F2"/>
    </sheetView>
  </sheetViews>
  <sheetFormatPr defaultRowHeight="14.5"/>
  <sheetData>
    <row r="1" spans="2:7">
      <c r="C1" s="33" t="s">
        <v>21</v>
      </c>
      <c r="D1" s="33" t="s">
        <v>22</v>
      </c>
      <c r="E1" s="33" t="s">
        <v>49</v>
      </c>
      <c r="F1" s="33" t="s">
        <v>60</v>
      </c>
      <c r="G1" s="33" t="s">
        <v>57</v>
      </c>
    </row>
    <row r="2" spans="2:7">
      <c r="B2" s="28" t="s">
        <v>59</v>
      </c>
      <c r="C2" s="20">
        <v>1.58</v>
      </c>
      <c r="D2" s="20">
        <v>3.77</v>
      </c>
      <c r="E2" s="20">
        <v>4.57</v>
      </c>
      <c r="F2" s="32">
        <v>18.399999999999999</v>
      </c>
    </row>
    <row r="3" spans="2:7">
      <c r="B3" s="27" t="s">
        <v>97</v>
      </c>
      <c r="C3" s="16">
        <f>AVERAGE('V2149 Ori'!D63,'HD 36981'!D63,'HD 36939'!D63,'Theta 2 Ori B'!D63,'TYC 2293-637-1'!D63,'TYC 2293-1266-1'!D63)</f>
        <v>1.375</v>
      </c>
      <c r="D3" s="16">
        <f>AVERAGE('V2149 Ori'!E63,'HD 36981'!E63,'HD 36939'!E63,'Theta 2 Ori B'!E63,'TYC 2293-637-1'!E63,'TYC 2293-1266-1'!E63)</f>
        <v>3.7983153232145299</v>
      </c>
      <c r="E3" s="16">
        <f>AVERAGE('V2149 Ori'!F63,'HD 36981'!F63,'HD 36939'!F63,'Theta 2 Ori B'!F63,'TYC 2293-637-1'!F63,'TYC 2293-1266-1'!F63)</f>
        <v>4.5649630167811219</v>
      </c>
      <c r="F3" s="16">
        <f>AVERAGE('V2149 Ori'!G63,'HD 36981'!G63,'HD 36939'!G63,'TYC 2293-637-1'!G63,'TYC 2293-1266-1'!G63)</f>
        <v>31.654744243496502</v>
      </c>
    </row>
    <row r="5" spans="2:7">
      <c r="B5" t="s">
        <v>50</v>
      </c>
      <c r="C5" s="16">
        <f>STDEV('V2149 Ori'!D63,'HD 36981'!D63,'HD 36939'!D63,'Theta 2 Ori B'!D63)</f>
        <v>6.4549722436790233E-2</v>
      </c>
      <c r="D5" s="16">
        <f>STDEV('V2149 Ori'!E63,'HD 36981'!E63,'HD 36939'!E63,'Theta 2 Ori B'!E63,'TYC 2293-637-1'!E63,'TYC 2293-1266-1'!E63)</f>
        <v>0.10710388407530951</v>
      </c>
      <c r="E5" s="16">
        <f>STDEV('V2149 Ori'!F63,'HD 36981'!F63,'HD 36939'!F63,'Theta 2 Ori B'!F63,'TYC 2293-637-1'!F63,'TYC 2293-1266-1'!F63)</f>
        <v>0.12231112311454179</v>
      </c>
      <c r="F5">
        <f>STDEV('V2149 Ori'!G63,'HD 36981'!G63,'HD 36939'!G63,'TYC 2293-637-1'!G63,'TYC 2293-1266-1'!G63)</f>
        <v>3.9928099787082139</v>
      </c>
    </row>
    <row r="6" spans="2:7">
      <c r="B6" t="s">
        <v>94</v>
      </c>
      <c r="C6" s="16">
        <f>C5/SQRT(4)</f>
        <v>3.2274861218395116E-2</v>
      </c>
      <c r="D6" s="16">
        <f>D5/SQRT(6)</f>
        <v>4.3724977575784869E-2</v>
      </c>
      <c r="E6" s="16">
        <f>E5/SQRT(6)</f>
        <v>4.9933306916226772E-2</v>
      </c>
      <c r="F6" s="16">
        <f>F5/SQRT(5)</f>
        <v>1.7856389067262108</v>
      </c>
    </row>
    <row r="7" spans="2:7">
      <c r="B7" t="s">
        <v>95</v>
      </c>
      <c r="C7" s="71">
        <f>C6/C3</f>
        <v>2.3472626340650993E-2</v>
      </c>
      <c r="D7" s="71">
        <f>D6/D3</f>
        <v>1.1511676586866474E-2</v>
      </c>
      <c r="E7" s="71">
        <f t="shared" ref="E7:F7" si="0">E6/E3</f>
        <v>1.0938381479251521E-2</v>
      </c>
      <c r="F7" s="71">
        <f t="shared" si="0"/>
        <v>5.6409835220610639E-2</v>
      </c>
    </row>
    <row r="8" spans="2:7">
      <c r="B8" t="s">
        <v>96</v>
      </c>
      <c r="C8" s="16">
        <f>C3-C2</f>
        <v>-0.20500000000000007</v>
      </c>
      <c r="D8" s="16">
        <f>D3-D2</f>
        <v>2.8315323214529897E-2</v>
      </c>
      <c r="E8" s="16">
        <f>E3-E2</f>
        <v>-5.0369832188783548E-3</v>
      </c>
      <c r="F8" s="16">
        <f>F3-F2</f>
        <v>13.254744243496503</v>
      </c>
      <c r="G8" s="26"/>
    </row>
    <row r="9" spans="2:7">
      <c r="B9" t="s">
        <v>98</v>
      </c>
      <c r="C9" s="70">
        <f>C8/C2</f>
        <v>-0.129746835443038</v>
      </c>
      <c r="D9" s="70">
        <f t="shared" ref="D9:F9" si="1">D8/D2</f>
        <v>7.5106958128726515E-3</v>
      </c>
      <c r="E9" s="70">
        <f t="shared" si="1"/>
        <v>-1.1021845117895742E-3</v>
      </c>
      <c r="F9" s="70">
        <f t="shared" si="1"/>
        <v>0.72036653497263614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75A1-A379-4523-97C5-B5CB1C3F74BC}">
  <dimension ref="A2:H64"/>
  <sheetViews>
    <sheetView workbookViewId="0">
      <pane ySplit="3" topLeftCell="A49" activePane="bottomLeft" state="frozen"/>
      <selection activeCell="G15" sqref="G15"/>
      <selection pane="bottomLeft" activeCell="D63" sqref="D63"/>
    </sheetView>
  </sheetViews>
  <sheetFormatPr defaultRowHeight="14.5"/>
  <sheetData>
    <row r="2" spans="1:6">
      <c r="C2" s="1" t="s">
        <v>2</v>
      </c>
    </row>
    <row r="3" spans="1:6" ht="43.5">
      <c r="C3" s="2" t="s">
        <v>23</v>
      </c>
      <c r="D3" s="2" t="s">
        <v>27</v>
      </c>
    </row>
    <row r="4" spans="1:6">
      <c r="A4" s="11" t="s">
        <v>13</v>
      </c>
      <c r="B4" s="11"/>
      <c r="C4" s="11">
        <v>551.4</v>
      </c>
      <c r="D4" s="12">
        <f>C4/C$6</f>
        <v>18.704206241519675</v>
      </c>
    </row>
    <row r="5" spans="1:6">
      <c r="A5" s="11" t="s">
        <v>14</v>
      </c>
      <c r="B5" s="11"/>
      <c r="C5" s="11">
        <v>99.86</v>
      </c>
      <c r="D5" s="12">
        <f>C5/C$6</f>
        <v>3.3873812754409767</v>
      </c>
    </row>
    <row r="6" spans="1:6">
      <c r="A6" t="s">
        <v>15</v>
      </c>
      <c r="C6">
        <v>29.48</v>
      </c>
      <c r="D6" s="7">
        <f>C6/C$6</f>
        <v>1</v>
      </c>
    </row>
    <row r="7" spans="1:6">
      <c r="A7" t="s">
        <v>16</v>
      </c>
      <c r="C7">
        <v>88.9</v>
      </c>
      <c r="D7" s="7">
        <f>C7/C$6</f>
        <v>3.0156037991858891</v>
      </c>
      <c r="E7" t="e">
        <f>STDEV(D7,#REF!,#REF!,#REF!,#REF!)</f>
        <v>#REF!</v>
      </c>
      <c r="F7" t="e">
        <f>1.96*E7/SQRT(5)</f>
        <v>#REF!</v>
      </c>
    </row>
    <row r="10" spans="1:6">
      <c r="B10" s="1" t="s">
        <v>45</v>
      </c>
    </row>
    <row r="11" spans="1:6">
      <c r="B11">
        <v>6</v>
      </c>
    </row>
    <row r="12" spans="1:6">
      <c r="B12">
        <v>8</v>
      </c>
    </row>
    <row r="13" spans="1:6">
      <c r="B13">
        <v>10</v>
      </c>
      <c r="C13">
        <v>96.6</v>
      </c>
    </row>
    <row r="14" spans="1:6">
      <c r="B14">
        <v>12</v>
      </c>
      <c r="C14">
        <v>97.9</v>
      </c>
    </row>
    <row r="15" spans="1:6">
      <c r="B15">
        <v>14</v>
      </c>
      <c r="C15">
        <v>98.3</v>
      </c>
    </row>
    <row r="16" spans="1:6">
      <c r="B16">
        <v>16</v>
      </c>
      <c r="C16">
        <v>100.5</v>
      </c>
    </row>
    <row r="17" spans="2:3">
      <c r="B17">
        <v>18</v>
      </c>
      <c r="C17">
        <v>103.8</v>
      </c>
    </row>
    <row r="18" spans="2:3">
      <c r="B18">
        <v>20</v>
      </c>
      <c r="C18">
        <v>106.1</v>
      </c>
    </row>
    <row r="19" spans="2:3">
      <c r="B19" t="s">
        <v>18</v>
      </c>
      <c r="C19">
        <f>AVERAGE(C11:C18)</f>
        <v>100.53333333333335</v>
      </c>
    </row>
    <row r="20" spans="2:3">
      <c r="B20" t="s">
        <v>17</v>
      </c>
      <c r="C20">
        <v>1</v>
      </c>
    </row>
    <row r="21" spans="2:3">
      <c r="C21">
        <f>C19/C20</f>
        <v>100.53333333333335</v>
      </c>
    </row>
    <row r="23" spans="2:3">
      <c r="B23" s="1" t="s">
        <v>21</v>
      </c>
    </row>
    <row r="24" spans="2:3">
      <c r="B24">
        <v>6</v>
      </c>
      <c r="C24">
        <v>74381</v>
      </c>
    </row>
    <row r="25" spans="2:3">
      <c r="B25">
        <v>8</v>
      </c>
      <c r="C25">
        <v>80668</v>
      </c>
    </row>
    <row r="26" spans="2:3">
      <c r="B26">
        <v>10</v>
      </c>
      <c r="C26">
        <v>84313</v>
      </c>
    </row>
    <row r="27" spans="2:3">
      <c r="B27">
        <v>12</v>
      </c>
      <c r="C27">
        <v>86816</v>
      </c>
    </row>
    <row r="28" spans="2:3">
      <c r="B28">
        <v>14</v>
      </c>
      <c r="C28" s="19">
        <v>90428</v>
      </c>
    </row>
    <row r="29" spans="2:3">
      <c r="B29">
        <v>16</v>
      </c>
      <c r="C29" s="17">
        <v>92866</v>
      </c>
    </row>
    <row r="30" spans="2:3">
      <c r="B30">
        <v>18</v>
      </c>
      <c r="C30" s="17">
        <v>97164</v>
      </c>
    </row>
    <row r="31" spans="2:3">
      <c r="B31">
        <v>20</v>
      </c>
      <c r="C31" s="17">
        <v>95130</v>
      </c>
    </row>
    <row r="32" spans="2:3">
      <c r="B32" t="s">
        <v>18</v>
      </c>
      <c r="C32">
        <f>AVERAGE(C24:C30)</f>
        <v>86662.28571428571</v>
      </c>
    </row>
    <row r="33" spans="2:7">
      <c r="B33" t="s">
        <v>17</v>
      </c>
      <c r="C33">
        <v>3162</v>
      </c>
    </row>
    <row r="34" spans="2:7">
      <c r="C34">
        <f>C32/C33</f>
        <v>27.407427487123879</v>
      </c>
    </row>
    <row r="36" spans="2:7">
      <c r="B36" s="1" t="s">
        <v>22</v>
      </c>
    </row>
    <row r="37" spans="2:7">
      <c r="B37">
        <v>6</v>
      </c>
      <c r="C37">
        <v>923481</v>
      </c>
      <c r="D37" s="16">
        <f>C37/C24*C$33/C$46</f>
        <v>3.4078097271144512</v>
      </c>
      <c r="E37" s="16"/>
    </row>
    <row r="38" spans="2:7">
      <c r="B38">
        <v>8</v>
      </c>
      <c r="C38">
        <v>979900</v>
      </c>
      <c r="D38" s="16">
        <f>C38/C25*C$33/C$46</f>
        <v>3.3341862376241718</v>
      </c>
      <c r="E38" s="16"/>
    </row>
    <row r="39" spans="2:7">
      <c r="B39">
        <v>10</v>
      </c>
      <c r="C39" s="15">
        <v>1009000</v>
      </c>
      <c r="D39" s="16">
        <f>C39/C26*C$33/C$46</f>
        <v>3.2847779009958926</v>
      </c>
      <c r="E39" s="16">
        <f t="shared" ref="E39:E44" si="0">1/(C39/C13*$C$20/$C$46)</f>
        <v>1.1029058473736373</v>
      </c>
      <c r="F39" s="16">
        <f t="shared" ref="F39:F44" si="1">1/(C26/C13*$C$20/$C$33)</f>
        <v>3.6228007543320722</v>
      </c>
    </row>
    <row r="40" spans="2:7">
      <c r="B40">
        <v>12</v>
      </c>
      <c r="C40" s="18">
        <v>1028000</v>
      </c>
      <c r="D40" s="16">
        <f>C40/C27*$C$33/$C$46</f>
        <v>3.2501449425605111</v>
      </c>
      <c r="E40" s="16">
        <f t="shared" si="0"/>
        <v>1.0970894941634242</v>
      </c>
      <c r="F40" s="16">
        <f t="shared" si="1"/>
        <v>3.5656998709915224</v>
      </c>
    </row>
    <row r="41" spans="2:7">
      <c r="B41">
        <v>14</v>
      </c>
      <c r="C41" s="15">
        <v>1045000</v>
      </c>
      <c r="D41" s="16">
        <f>C41/C28*$C$33/$C$46</f>
        <v>3.1719238418041611</v>
      </c>
      <c r="E41" s="16">
        <f t="shared" si="0"/>
        <v>1.0836516746411482</v>
      </c>
      <c r="F41" s="16">
        <f t="shared" si="1"/>
        <v>3.4372605830052638</v>
      </c>
    </row>
    <row r="42" spans="2:7">
      <c r="B42">
        <v>16</v>
      </c>
      <c r="C42" s="15">
        <v>1059000</v>
      </c>
      <c r="D42" s="16">
        <f>C42/C29*$C$33/$C$46</f>
        <v>3.1300307701419245</v>
      </c>
      <c r="E42" s="16">
        <f t="shared" si="0"/>
        <v>1.0932577903682721</v>
      </c>
      <c r="F42" s="16">
        <f t="shared" si="1"/>
        <v>3.4219305235500617</v>
      </c>
    </row>
    <row r="43" spans="2:7">
      <c r="B43">
        <v>18</v>
      </c>
      <c r="C43" s="15">
        <v>1074000</v>
      </c>
      <c r="D43" s="16">
        <f>C43/C30*$C$33/$C$46</f>
        <v>3.0339490449137543</v>
      </c>
      <c r="E43" s="16">
        <f t="shared" si="0"/>
        <v>1.1133854748603351</v>
      </c>
      <c r="F43" s="16">
        <f t="shared" si="1"/>
        <v>3.3779547980733602</v>
      </c>
    </row>
    <row r="44" spans="2:7">
      <c r="B44">
        <v>20</v>
      </c>
      <c r="C44" s="15">
        <v>1095000</v>
      </c>
      <c r="D44" s="16">
        <f>C44/C31*C$33/C$46</f>
        <v>3.1594101492694211</v>
      </c>
      <c r="E44" s="16">
        <f t="shared" si="0"/>
        <v>1.1162301369863012</v>
      </c>
      <c r="F44" s="16">
        <f t="shared" si="1"/>
        <v>3.5266288237149159</v>
      </c>
    </row>
    <row r="45" spans="2:7">
      <c r="B45" t="s">
        <v>18</v>
      </c>
      <c r="C45">
        <f>AVERAGE(C37:C41)</f>
        <v>997076.2</v>
      </c>
      <c r="D45" s="16">
        <f t="shared" ref="D45:F45" si="2">AVERAGE(D37:D41)</f>
        <v>3.2897685300198374</v>
      </c>
      <c r="E45" s="16">
        <f t="shared" si="2"/>
        <v>1.0945490053927365</v>
      </c>
      <c r="F45" s="16">
        <f t="shared" si="2"/>
        <v>3.5419204027762863</v>
      </c>
    </row>
    <row r="46" spans="2:7">
      <c r="B46" t="s">
        <v>17</v>
      </c>
      <c r="C46" s="15">
        <v>11520</v>
      </c>
      <c r="D46" s="7">
        <f>STDEV(D40:D43)</f>
        <v>9.0051093428347606E-2</v>
      </c>
      <c r="E46" s="7">
        <f t="shared" ref="E46:F46" si="3">STDEV(E40:E43)</f>
        <v>1.2390574213929011E-2</v>
      </c>
      <c r="F46" s="7">
        <f t="shared" si="3"/>
        <v>8.067452078552953E-2</v>
      </c>
      <c r="G46" t="s">
        <v>50</v>
      </c>
    </row>
    <row r="47" spans="2:7">
      <c r="C47">
        <f>C45/C46</f>
        <v>86.551753472222217</v>
      </c>
    </row>
    <row r="49" spans="2:8">
      <c r="B49" s="1" t="s">
        <v>60</v>
      </c>
    </row>
    <row r="50" spans="2:8">
      <c r="B50">
        <v>6</v>
      </c>
      <c r="D50" s="16">
        <f>C50/C37*C$33/C$46</f>
        <v>0</v>
      </c>
      <c r="E50" s="16"/>
    </row>
    <row r="51" spans="2:8">
      <c r="B51">
        <v>8</v>
      </c>
      <c r="D51" s="16">
        <f>C51/C38*C$33/C$46</f>
        <v>0</v>
      </c>
      <c r="E51" s="16"/>
    </row>
    <row r="52" spans="2:8">
      <c r="B52">
        <v>10</v>
      </c>
      <c r="C52" s="15"/>
      <c r="D52" s="16">
        <f>C52/C39*C$33/C$46</f>
        <v>0</v>
      </c>
      <c r="E52" s="16" t="e">
        <f t="shared" ref="E52:E57" si="4">1/(C52/C26*$C$20/$C$46)</f>
        <v>#DIV/0!</v>
      </c>
      <c r="F52" s="16">
        <f t="shared" ref="F52:F57" si="5">1/(C39/C26*$C$20/$C$33)</f>
        <v>264.21972844400398</v>
      </c>
    </row>
    <row r="53" spans="2:8">
      <c r="B53">
        <v>12</v>
      </c>
      <c r="C53" s="18"/>
      <c r="D53" s="16">
        <f>C53/C40*$C$33/$C$46</f>
        <v>0</v>
      </c>
      <c r="E53" s="16" t="e">
        <f t="shared" si="4"/>
        <v>#DIV/0!</v>
      </c>
      <c r="F53" s="16">
        <f t="shared" si="5"/>
        <v>267.03520622568089</v>
      </c>
    </row>
    <row r="54" spans="2:8">
      <c r="B54">
        <v>14</v>
      </c>
      <c r="C54" s="15"/>
      <c r="D54" s="16">
        <f>C54/C41*$C$33/$C$46</f>
        <v>0</v>
      </c>
      <c r="E54" s="16" t="e">
        <f t="shared" si="4"/>
        <v>#DIV/0!</v>
      </c>
      <c r="F54" s="16">
        <f t="shared" si="5"/>
        <v>273.62041722488038</v>
      </c>
    </row>
    <row r="55" spans="2:8">
      <c r="B55">
        <v>16</v>
      </c>
      <c r="C55" s="15"/>
      <c r="D55" s="16">
        <f>C55/C42*$C$33/$C$46</f>
        <v>0</v>
      </c>
      <c r="E55" s="16" t="e">
        <f t="shared" si="4"/>
        <v>#DIV/0!</v>
      </c>
      <c r="F55" s="16">
        <f t="shared" si="5"/>
        <v>277.28261756373939</v>
      </c>
    </row>
    <row r="56" spans="2:8">
      <c r="B56">
        <v>18</v>
      </c>
      <c r="C56" s="15"/>
      <c r="D56" s="16">
        <f>C56/C43*$C$33/$C$46</f>
        <v>0</v>
      </c>
      <c r="E56" s="16" t="e">
        <f t="shared" si="4"/>
        <v>#DIV/0!</v>
      </c>
      <c r="F56" s="16">
        <f t="shared" si="5"/>
        <v>286.06384357541896</v>
      </c>
    </row>
    <row r="57" spans="2:8">
      <c r="B57">
        <v>20</v>
      </c>
      <c r="C57" s="15"/>
      <c r="D57" s="16">
        <f>C57/C44*C$33/C$46</f>
        <v>0</v>
      </c>
      <c r="E57" s="16" t="e">
        <f t="shared" si="4"/>
        <v>#DIV/0!</v>
      </c>
      <c r="F57" s="16">
        <f t="shared" si="5"/>
        <v>274.70416438356165</v>
      </c>
    </row>
    <row r="58" spans="2:8">
      <c r="B58" t="s">
        <v>18</v>
      </c>
      <c r="C58" t="e">
        <f>AVERAGE(C50:C54)</f>
        <v>#DIV/0!</v>
      </c>
      <c r="D58" s="16">
        <f t="shared" ref="D58:F58" si="6">AVERAGE(D50:D54)</f>
        <v>0</v>
      </c>
      <c r="E58" s="16" t="e">
        <f t="shared" si="6"/>
        <v>#DIV/0!</v>
      </c>
      <c r="F58" s="16">
        <f t="shared" si="6"/>
        <v>268.29178396485509</v>
      </c>
    </row>
    <row r="59" spans="2:8">
      <c r="B59" t="s">
        <v>17</v>
      </c>
      <c r="C59" s="15">
        <v>11520</v>
      </c>
      <c r="D59" s="7">
        <f>STDEV(D53:D56)</f>
        <v>0</v>
      </c>
      <c r="E59" s="7" t="e">
        <f t="shared" ref="E59:F59" si="7">STDEV(E53:E56)</f>
        <v>#DIV/0!</v>
      </c>
      <c r="F59" s="7">
        <f t="shared" si="7"/>
        <v>7.9363298788682792</v>
      </c>
      <c r="G59" t="s">
        <v>50</v>
      </c>
    </row>
    <row r="60" spans="2:8">
      <c r="C60" t="e">
        <f>C58/C59</f>
        <v>#DIV/0!</v>
      </c>
    </row>
    <row r="61" spans="2:8">
      <c r="D61" s="33" t="s">
        <v>21</v>
      </c>
      <c r="E61" s="33" t="s">
        <v>22</v>
      </c>
      <c r="F61" s="33" t="s">
        <v>49</v>
      </c>
      <c r="G61" s="33" t="s">
        <v>60</v>
      </c>
      <c r="H61" s="33" t="s">
        <v>57</v>
      </c>
    </row>
    <row r="62" spans="2:8">
      <c r="C62" s="28" t="s">
        <v>59</v>
      </c>
      <c r="D62" s="20">
        <v>3.15</v>
      </c>
      <c r="E62" s="20">
        <v>7.6</v>
      </c>
      <c r="F62" s="20">
        <v>8.98</v>
      </c>
    </row>
    <row r="63" spans="2:8">
      <c r="C63" s="27" t="s">
        <v>58</v>
      </c>
      <c r="D63" s="25">
        <v>2.46</v>
      </c>
      <c r="E63" s="16">
        <f>D63*D45</f>
        <v>8.0928305838487997</v>
      </c>
      <c r="F63" s="16">
        <f>D63*F45</f>
        <v>8.7131241908296637</v>
      </c>
    </row>
    <row r="64" spans="2:8">
      <c r="D64" s="16">
        <f>D63-D62</f>
        <v>-0.69</v>
      </c>
      <c r="E64" s="16">
        <f t="shared" ref="E64:F64" si="8">E63-E62</f>
        <v>0.49283058384880007</v>
      </c>
      <c r="F64" s="16">
        <f t="shared" si="8"/>
        <v>-0.26687580917033671</v>
      </c>
      <c r="G64" s="26">
        <f>SQRT(SUMSQ(D64:F64))</f>
        <v>0.88893457683739086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971E-0B58-4AE4-B122-8E5D7FDCA324}">
  <dimension ref="A2:H65"/>
  <sheetViews>
    <sheetView workbookViewId="0">
      <pane ySplit="3" topLeftCell="A49" activePane="bottomLeft" state="frozen"/>
      <selection pane="bottomLeft" activeCell="D65" sqref="D65:G65"/>
    </sheetView>
  </sheetViews>
  <sheetFormatPr defaultRowHeight="14.5"/>
  <cols>
    <col min="4" max="4" width="11" customWidth="1"/>
    <col min="5" max="6" width="9.36328125" bestFit="1" customWidth="1"/>
  </cols>
  <sheetData>
    <row r="2" spans="1:7">
      <c r="C2" s="1" t="s">
        <v>3</v>
      </c>
    </row>
    <row r="3" spans="1:7">
      <c r="C3" s="3" t="s">
        <v>19</v>
      </c>
      <c r="D3" s="4" t="s">
        <v>34</v>
      </c>
    </row>
    <row r="4" spans="1:7">
      <c r="A4" s="11" t="s">
        <v>13</v>
      </c>
      <c r="B4" s="11"/>
      <c r="C4" s="13">
        <v>1626</v>
      </c>
      <c r="D4" s="14">
        <f>C4/C$6</f>
        <v>24.636363636363637</v>
      </c>
    </row>
    <row r="5" spans="1:7">
      <c r="A5" s="11" t="s">
        <v>14</v>
      </c>
      <c r="B5" s="11"/>
      <c r="C5" s="13">
        <v>240</v>
      </c>
      <c r="D5" s="14">
        <f>C5/C$6</f>
        <v>3.6363636363636362</v>
      </c>
    </row>
    <row r="6" spans="1:7">
      <c r="A6" t="s">
        <v>15</v>
      </c>
      <c r="C6" s="8">
        <v>66</v>
      </c>
      <c r="D6" s="9">
        <f>C6/C$6</f>
        <v>1</v>
      </c>
    </row>
    <row r="7" spans="1:7">
      <c r="A7" t="s">
        <v>16</v>
      </c>
      <c r="C7" s="8">
        <v>217</v>
      </c>
      <c r="D7" s="9">
        <f>C7/C$6</f>
        <v>3.2878787878787881</v>
      </c>
      <c r="E7" s="7" t="e">
        <f>AVERAGE(#REF!,D7,#REF!,#REF!,#REF!)</f>
        <v>#REF!</v>
      </c>
      <c r="F7" t="e">
        <f>STDEV(#REF!,D7,#REF!,#REF!,#REF!)</f>
        <v>#REF!</v>
      </c>
      <c r="G7" t="e">
        <f>1.96*F7/SQRT(5)</f>
        <v>#REF!</v>
      </c>
    </row>
    <row r="10" spans="1:7">
      <c r="B10" s="1" t="s">
        <v>45</v>
      </c>
    </row>
    <row r="11" spans="1:7">
      <c r="B11">
        <v>6</v>
      </c>
    </row>
    <row r="12" spans="1:7">
      <c r="B12">
        <v>8</v>
      </c>
    </row>
    <row r="13" spans="1:7">
      <c r="B13">
        <v>10</v>
      </c>
      <c r="C13">
        <v>241</v>
      </c>
    </row>
    <row r="14" spans="1:7">
      <c r="B14">
        <v>12</v>
      </c>
      <c r="C14">
        <v>240</v>
      </c>
    </row>
    <row r="15" spans="1:7">
      <c r="B15">
        <v>14</v>
      </c>
      <c r="C15">
        <v>241</v>
      </c>
    </row>
    <row r="16" spans="1:7">
      <c r="B16">
        <v>16</v>
      </c>
      <c r="C16">
        <v>238</v>
      </c>
    </row>
    <row r="17" spans="2:3">
      <c r="B17">
        <v>18</v>
      </c>
      <c r="C17">
        <v>237</v>
      </c>
    </row>
    <row r="18" spans="2:3">
      <c r="B18">
        <v>20</v>
      </c>
      <c r="C18">
        <v>236</v>
      </c>
    </row>
    <row r="19" spans="2:3">
      <c r="B19" t="s">
        <v>18</v>
      </c>
      <c r="C19">
        <f>AVERAGE(C11:C18)</f>
        <v>238.83333333333334</v>
      </c>
    </row>
    <row r="20" spans="2:3">
      <c r="B20" t="s">
        <v>17</v>
      </c>
      <c r="C20">
        <v>1</v>
      </c>
    </row>
    <row r="21" spans="2:3">
      <c r="C21">
        <f>C19/C20</f>
        <v>238.83333333333334</v>
      </c>
    </row>
    <row r="23" spans="2:3">
      <c r="B23" s="1" t="s">
        <v>21</v>
      </c>
    </row>
    <row r="24" spans="2:3">
      <c r="B24">
        <v>6</v>
      </c>
    </row>
    <row r="25" spans="2:3">
      <c r="B25">
        <v>8</v>
      </c>
    </row>
    <row r="26" spans="2:3">
      <c r="B26">
        <v>10</v>
      </c>
      <c r="C26" s="15">
        <v>68.599999999999994</v>
      </c>
    </row>
    <row r="27" spans="2:3">
      <c r="B27">
        <v>12</v>
      </c>
      <c r="C27" s="15">
        <v>69.599999999999994</v>
      </c>
    </row>
    <row r="28" spans="2:3">
      <c r="B28">
        <v>14</v>
      </c>
      <c r="C28" s="15">
        <v>65.7</v>
      </c>
    </row>
    <row r="29" spans="2:3">
      <c r="B29">
        <v>16</v>
      </c>
      <c r="C29" s="15">
        <v>65.5</v>
      </c>
    </row>
    <row r="30" spans="2:3">
      <c r="B30">
        <v>18</v>
      </c>
      <c r="C30" s="15">
        <v>63.1</v>
      </c>
    </row>
    <row r="31" spans="2:3">
      <c r="B31">
        <v>20</v>
      </c>
      <c r="C31" s="15"/>
    </row>
    <row r="32" spans="2:3">
      <c r="B32" t="s">
        <v>18</v>
      </c>
      <c r="C32">
        <f>AVERAGE(C24:C30)</f>
        <v>66.5</v>
      </c>
    </row>
    <row r="33" spans="2:7">
      <c r="B33" t="s">
        <v>17</v>
      </c>
      <c r="C33">
        <v>1</v>
      </c>
    </row>
    <row r="34" spans="2:7">
      <c r="C34">
        <f>C32/C33</f>
        <v>66.5</v>
      </c>
    </row>
    <row r="36" spans="2:7">
      <c r="B36" s="1" t="s">
        <v>22</v>
      </c>
      <c r="D36" t="s">
        <v>46</v>
      </c>
      <c r="E36" t="s">
        <v>47</v>
      </c>
      <c r="F36" t="s">
        <v>48</v>
      </c>
    </row>
    <row r="37" spans="2:7">
      <c r="B37">
        <v>6</v>
      </c>
    </row>
    <row r="38" spans="2:7">
      <c r="B38">
        <v>8</v>
      </c>
    </row>
    <row r="39" spans="2:7">
      <c r="B39">
        <v>10</v>
      </c>
      <c r="C39">
        <v>206.5</v>
      </c>
    </row>
    <row r="40" spans="2:7">
      <c r="B40">
        <v>12</v>
      </c>
      <c r="C40" s="15">
        <v>207.9</v>
      </c>
      <c r="D40" s="16">
        <f>C40/C27*$C$33/$C$46</f>
        <v>2.9870689655172415</v>
      </c>
      <c r="E40" s="16">
        <f>1/(C40/C14*$C$20/$C$46)</f>
        <v>1.1544011544011543</v>
      </c>
      <c r="F40" s="16">
        <f>1/(C27/C14*$C$20/$C$33)</f>
        <v>3.4482758620689657</v>
      </c>
    </row>
    <row r="41" spans="2:7">
      <c r="B41">
        <v>14</v>
      </c>
      <c r="C41" s="15">
        <v>208.3</v>
      </c>
      <c r="D41" s="16">
        <f t="shared" ref="D41:D43" si="0">C41/C28*$C$33/$C$46</f>
        <v>3.1704718417047184</v>
      </c>
      <c r="E41" s="16">
        <f t="shared" ref="E41:E43" si="1">1/(C41/C15*$C$20/$C$46)</f>
        <v>1.1569851176188191</v>
      </c>
      <c r="F41" s="16">
        <f t="shared" ref="F41:F43" si="2">1/(C28/C15*$C$20/$C$33)</f>
        <v>3.6681887366818868</v>
      </c>
    </row>
    <row r="42" spans="2:7">
      <c r="B42">
        <v>16</v>
      </c>
      <c r="C42" s="15">
        <v>208.3</v>
      </c>
      <c r="D42" s="16">
        <f t="shared" si="0"/>
        <v>3.1801526717557254</v>
      </c>
      <c r="E42" s="16">
        <f t="shared" si="1"/>
        <v>1.1425828132501201</v>
      </c>
      <c r="F42" s="16">
        <f t="shared" si="2"/>
        <v>3.6335877862595418</v>
      </c>
    </row>
    <row r="43" spans="2:7">
      <c r="B43">
        <v>18</v>
      </c>
      <c r="C43" s="15">
        <v>210</v>
      </c>
      <c r="D43" s="16">
        <f t="shared" si="0"/>
        <v>3.3280507131537242</v>
      </c>
      <c r="E43" s="16">
        <f t="shared" si="1"/>
        <v>1.1285714285714286</v>
      </c>
      <c r="F43" s="16">
        <f t="shared" si="2"/>
        <v>3.7559429477020601</v>
      </c>
    </row>
    <row r="44" spans="2:7">
      <c r="B44">
        <v>20</v>
      </c>
      <c r="C44" s="15"/>
      <c r="D44" s="16"/>
      <c r="E44" s="16"/>
      <c r="F44" s="16"/>
    </row>
    <row r="45" spans="2:7">
      <c r="B45" t="s">
        <v>18</v>
      </c>
      <c r="C45">
        <f>AVERAGE(C37:C41)</f>
        <v>207.56666666666669</v>
      </c>
      <c r="D45" s="16">
        <f t="shared" ref="D45:F45" si="3">AVERAGE(D37:D41)</f>
        <v>3.0787704036109798</v>
      </c>
      <c r="E45" s="16">
        <f t="shared" si="3"/>
        <v>1.1556931360099867</v>
      </c>
      <c r="F45" s="16">
        <f t="shared" si="3"/>
        <v>3.5582322993754261</v>
      </c>
    </row>
    <row r="46" spans="2:7">
      <c r="B46" t="s">
        <v>17</v>
      </c>
      <c r="C46" s="15">
        <v>1</v>
      </c>
      <c r="D46" s="7">
        <f>STDEV(D40:D43)</f>
        <v>0.13963796483431751</v>
      </c>
      <c r="E46" s="7">
        <f t="shared" ref="E46:F46" si="4">STDEV(E40:E43)</f>
        <v>1.2989122971856077E-2</v>
      </c>
      <c r="F46" s="7">
        <f t="shared" si="4"/>
        <v>0.12949582686429878</v>
      </c>
      <c r="G46" t="s">
        <v>50</v>
      </c>
    </row>
    <row r="47" spans="2:7">
      <c r="C47">
        <f>C45/C46</f>
        <v>207.56666666666669</v>
      </c>
    </row>
    <row r="49" spans="2:8">
      <c r="B49" s="1" t="s">
        <v>60</v>
      </c>
      <c r="D49" t="s">
        <v>46</v>
      </c>
      <c r="E49" t="s">
        <v>47</v>
      </c>
      <c r="F49" t="s">
        <v>48</v>
      </c>
    </row>
    <row r="50" spans="2:8">
      <c r="B50">
        <v>6</v>
      </c>
    </row>
    <row r="51" spans="2:8">
      <c r="B51">
        <v>8</v>
      </c>
    </row>
    <row r="52" spans="2:8">
      <c r="B52">
        <v>10</v>
      </c>
      <c r="C52" s="15">
        <v>1499</v>
      </c>
    </row>
    <row r="53" spans="2:8">
      <c r="B53">
        <v>12</v>
      </c>
      <c r="C53" s="15">
        <v>1554</v>
      </c>
      <c r="D53" s="16">
        <f t="shared" ref="D53:D56" si="5">C40/C27*$C$33/$C$46</f>
        <v>2.9870689655172415</v>
      </c>
      <c r="E53" s="16">
        <f t="shared" ref="E53:E56" si="6">1/(C40/C14*$C$20/$C$46)</f>
        <v>1.1544011544011543</v>
      </c>
      <c r="F53" s="16">
        <f t="shared" ref="F53:F56" si="7">1/(C27/C14*$C$20/$C$33)</f>
        <v>3.4482758620689657</v>
      </c>
      <c r="G53" s="16">
        <f>C53/C40*(C$46/C$59)</f>
        <v>7.4747474747474749</v>
      </c>
    </row>
    <row r="54" spans="2:8">
      <c r="B54">
        <v>14</v>
      </c>
      <c r="C54" s="15">
        <v>1599</v>
      </c>
      <c r="D54" s="16">
        <f t="shared" si="5"/>
        <v>3.1704718417047184</v>
      </c>
      <c r="E54" s="16">
        <f t="shared" si="6"/>
        <v>1.1569851176188191</v>
      </c>
      <c r="F54" s="16">
        <f t="shared" si="7"/>
        <v>3.6681887366818868</v>
      </c>
      <c r="G54" s="16">
        <f t="shared" ref="G54:G56" si="8">C54/C41*(C$46/C$59)</f>
        <v>7.6764282285165626</v>
      </c>
    </row>
    <row r="55" spans="2:8">
      <c r="B55">
        <v>16</v>
      </c>
      <c r="C55" s="15">
        <v>1628</v>
      </c>
      <c r="D55" s="16">
        <f t="shared" si="5"/>
        <v>3.1801526717557254</v>
      </c>
      <c r="E55" s="16">
        <f t="shared" si="6"/>
        <v>1.1425828132501201</v>
      </c>
      <c r="F55" s="16">
        <f t="shared" si="7"/>
        <v>3.6335877862595418</v>
      </c>
      <c r="G55" s="16">
        <f t="shared" si="8"/>
        <v>7.8156505040806525</v>
      </c>
    </row>
    <row r="56" spans="2:8">
      <c r="B56">
        <v>18</v>
      </c>
      <c r="C56" s="15">
        <v>1644</v>
      </c>
      <c r="D56" s="16">
        <f t="shared" si="5"/>
        <v>3.3280507131537242</v>
      </c>
      <c r="E56" s="16">
        <f t="shared" si="6"/>
        <v>1.1285714285714286</v>
      </c>
      <c r="F56" s="16">
        <f t="shared" si="7"/>
        <v>3.7559429477020601</v>
      </c>
      <c r="G56" s="16">
        <f t="shared" si="8"/>
        <v>7.8285714285714283</v>
      </c>
    </row>
    <row r="57" spans="2:8">
      <c r="B57">
        <v>20</v>
      </c>
      <c r="C57" s="15">
        <v>1667</v>
      </c>
      <c r="D57" s="16"/>
      <c r="E57" s="16"/>
      <c r="F57" s="16"/>
    </row>
    <row r="58" spans="2:8">
      <c r="B58" t="s">
        <v>18</v>
      </c>
      <c r="C58">
        <f>AVERAGE(C50:C57)</f>
        <v>1598.5</v>
      </c>
      <c r="D58" s="16">
        <f>AVERAGE(D53:D57)</f>
        <v>3.1664360480328519</v>
      </c>
      <c r="E58" s="16">
        <f t="shared" ref="E58:G58" si="9">AVERAGE(E53:E57)</f>
        <v>1.1456351284603805</v>
      </c>
      <c r="F58" s="16">
        <f t="shared" si="9"/>
        <v>3.6264988331781134</v>
      </c>
      <c r="G58" s="16">
        <f t="shared" si="9"/>
        <v>7.6988494089790294</v>
      </c>
    </row>
    <row r="59" spans="2:8">
      <c r="B59" t="s">
        <v>17</v>
      </c>
      <c r="C59" s="15">
        <v>1</v>
      </c>
      <c r="D59" s="7">
        <f>STDEV(D53:D56)</f>
        <v>0.13963796483431751</v>
      </c>
      <c r="E59" s="7">
        <f t="shared" ref="E59:F59" si="10">STDEV(E53:E56)</f>
        <v>1.2989122971856077E-2</v>
      </c>
      <c r="F59" s="7">
        <f t="shared" si="10"/>
        <v>0.12949582686429878</v>
      </c>
      <c r="G59" t="s">
        <v>50</v>
      </c>
    </row>
    <row r="60" spans="2:8">
      <c r="C60">
        <f>C58/C59</f>
        <v>1598.5</v>
      </c>
    </row>
    <row r="61" spans="2:8">
      <c r="D61" s="33" t="s">
        <v>21</v>
      </c>
      <c r="E61" s="33" t="s">
        <v>22</v>
      </c>
      <c r="F61" s="33" t="s">
        <v>49</v>
      </c>
      <c r="G61" s="33" t="s">
        <v>60</v>
      </c>
      <c r="H61" s="33" t="s">
        <v>57</v>
      </c>
    </row>
    <row r="62" spans="2:8">
      <c r="C62" s="28" t="s">
        <v>59</v>
      </c>
      <c r="D62" s="20">
        <v>1.58</v>
      </c>
      <c r="E62" s="20">
        <v>3.77</v>
      </c>
      <c r="F62" s="20">
        <v>4.57</v>
      </c>
      <c r="G62" s="32">
        <v>18.399999999999999</v>
      </c>
    </row>
    <row r="63" spans="2:8">
      <c r="C63" s="27" t="s">
        <v>58</v>
      </c>
      <c r="D63" s="25">
        <v>1.3</v>
      </c>
      <c r="E63" s="16">
        <f>D63*D45</f>
        <v>4.0024015246942737</v>
      </c>
      <c r="F63" s="16">
        <f>E63*E58</f>
        <v>4.5852917848931467</v>
      </c>
      <c r="G63" s="16">
        <f>E63*G58</f>
        <v>30.813886612889274</v>
      </c>
    </row>
    <row r="64" spans="2:8">
      <c r="D64" s="16">
        <f>D63-D62</f>
        <v>-0.28000000000000003</v>
      </c>
      <c r="E64" s="16">
        <f t="shared" ref="E64:G64" si="11">E63-E62</f>
        <v>0.23240152469427366</v>
      </c>
      <c r="F64" s="16">
        <f t="shared" si="11"/>
        <v>1.5291784893146421E-2</v>
      </c>
      <c r="G64" s="16">
        <f t="shared" si="11"/>
        <v>12.413886612889275</v>
      </c>
      <c r="H64" s="26">
        <f>SQRT(SUMSQ(D64:G64))</f>
        <v>12.419228041429829</v>
      </c>
    </row>
    <row r="65" spans="4:7">
      <c r="D65" s="70">
        <f>D64/D63</f>
        <v>-0.2153846153846154</v>
      </c>
      <c r="E65" s="70">
        <f t="shared" ref="E65:G65" si="12">E64/E63</f>
        <v>5.8065519728689848E-2</v>
      </c>
      <c r="F65" s="70">
        <f t="shared" si="12"/>
        <v>3.3349644058699251E-3</v>
      </c>
      <c r="G65" s="70">
        <f t="shared" si="12"/>
        <v>0.40286662857052952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A7D2-557B-4B62-B1E3-021E0E9AB91D}">
  <dimension ref="A2:H65"/>
  <sheetViews>
    <sheetView workbookViewId="0">
      <pane ySplit="3" topLeftCell="A47" activePane="bottomLeft" state="frozen"/>
      <selection pane="bottomLeft" activeCell="D65" sqref="D65:G65"/>
    </sheetView>
  </sheetViews>
  <sheetFormatPr defaultRowHeight="14.5"/>
  <cols>
    <col min="4" max="4" width="11" customWidth="1"/>
    <col min="5" max="6" width="9.36328125" bestFit="1" customWidth="1"/>
  </cols>
  <sheetData>
    <row r="2" spans="1:7">
      <c r="C2" s="1" t="s">
        <v>0</v>
      </c>
    </row>
    <row r="3" spans="1:7">
      <c r="C3" s="24" t="s">
        <v>63</v>
      </c>
      <c r="D3" s="4" t="s">
        <v>65</v>
      </c>
    </row>
    <row r="4" spans="1:7">
      <c r="A4" s="11" t="s">
        <v>13</v>
      </c>
      <c r="B4" s="11"/>
      <c r="C4" s="13">
        <v>1626</v>
      </c>
      <c r="D4" s="14">
        <f>C4/C$6</f>
        <v>24.636363636363637</v>
      </c>
    </row>
    <row r="5" spans="1:7">
      <c r="A5" s="11" t="s">
        <v>14</v>
      </c>
      <c r="B5" s="11"/>
      <c r="C5" s="13">
        <v>240</v>
      </c>
      <c r="D5" s="14">
        <f>C5/C$6</f>
        <v>3.6363636363636362</v>
      </c>
    </row>
    <row r="6" spans="1:7">
      <c r="A6" t="s">
        <v>15</v>
      </c>
      <c r="C6" s="8">
        <v>66</v>
      </c>
      <c r="D6" s="9">
        <f>C6/C$6</f>
        <v>1</v>
      </c>
    </row>
    <row r="7" spans="1:7">
      <c r="A7" t="s">
        <v>16</v>
      </c>
      <c r="C7" s="8">
        <v>217</v>
      </c>
      <c r="D7" s="9">
        <f>C7/C$6</f>
        <v>3.2878787878787881</v>
      </c>
      <c r="E7" s="7" t="e">
        <f>AVERAGE(#REF!,D7,#REF!,#REF!,#REF!)</f>
        <v>#REF!</v>
      </c>
      <c r="F7" t="e">
        <f>STDEV(#REF!,D7,#REF!,#REF!,#REF!)</f>
        <v>#REF!</v>
      </c>
      <c r="G7" t="e">
        <f>1.96*F7/SQRT(5)</f>
        <v>#REF!</v>
      </c>
    </row>
    <row r="10" spans="1:7">
      <c r="B10" s="1" t="s">
        <v>45</v>
      </c>
    </row>
    <row r="11" spans="1:7">
      <c r="B11">
        <v>6</v>
      </c>
      <c r="C11">
        <v>1933</v>
      </c>
    </row>
    <row r="12" spans="1:7">
      <c r="B12">
        <v>8</v>
      </c>
      <c r="C12">
        <v>2047</v>
      </c>
    </row>
    <row r="13" spans="1:7">
      <c r="B13">
        <v>10</v>
      </c>
      <c r="C13">
        <v>2091</v>
      </c>
    </row>
    <row r="14" spans="1:7">
      <c r="B14">
        <v>12</v>
      </c>
      <c r="C14">
        <v>2107</v>
      </c>
    </row>
    <row r="15" spans="1:7">
      <c r="B15">
        <v>14</v>
      </c>
      <c r="C15">
        <v>2117</v>
      </c>
    </row>
    <row r="16" spans="1:7">
      <c r="B16">
        <v>16</v>
      </c>
      <c r="C16">
        <v>2125</v>
      </c>
    </row>
    <row r="17" spans="2:3">
      <c r="B17">
        <v>18</v>
      </c>
      <c r="C17">
        <v>2132</v>
      </c>
    </row>
    <row r="18" spans="2:3">
      <c r="B18">
        <v>20</v>
      </c>
      <c r="C18">
        <v>2137</v>
      </c>
    </row>
    <row r="19" spans="2:3">
      <c r="B19" t="s">
        <v>18</v>
      </c>
      <c r="C19">
        <f>AVERAGE(C11:C18)</f>
        <v>2086.125</v>
      </c>
    </row>
    <row r="20" spans="2:3">
      <c r="B20" t="s">
        <v>17</v>
      </c>
      <c r="C20">
        <v>1</v>
      </c>
    </row>
    <row r="21" spans="2:3">
      <c r="C21">
        <f>C19/C20</f>
        <v>2086.125</v>
      </c>
    </row>
    <row r="23" spans="2:3">
      <c r="B23" s="1" t="s">
        <v>21</v>
      </c>
    </row>
    <row r="24" spans="2:3">
      <c r="B24">
        <v>6</v>
      </c>
    </row>
    <row r="25" spans="2:3">
      <c r="B25">
        <v>8</v>
      </c>
    </row>
    <row r="26" spans="2:3">
      <c r="B26">
        <v>10</v>
      </c>
      <c r="C26" s="15">
        <v>1906000</v>
      </c>
    </row>
    <row r="27" spans="2:3">
      <c r="B27">
        <v>12</v>
      </c>
      <c r="C27" s="15">
        <v>1929000</v>
      </c>
    </row>
    <row r="28" spans="2:3">
      <c r="B28">
        <v>14</v>
      </c>
      <c r="C28" s="15">
        <v>1944000</v>
      </c>
    </row>
    <row r="29" spans="2:3">
      <c r="B29">
        <v>16</v>
      </c>
      <c r="C29" s="15">
        <v>1950000</v>
      </c>
    </row>
    <row r="30" spans="2:3">
      <c r="B30">
        <v>18</v>
      </c>
      <c r="C30" s="15">
        <v>1954000</v>
      </c>
    </row>
    <row r="31" spans="2:3">
      <c r="B31">
        <v>20</v>
      </c>
      <c r="C31" s="15"/>
    </row>
    <row r="32" spans="2:3">
      <c r="B32" t="s">
        <v>18</v>
      </c>
      <c r="C32">
        <f>AVERAGE(C24:C30)</f>
        <v>1936600</v>
      </c>
    </row>
    <row r="33" spans="2:7">
      <c r="B33" t="s">
        <v>17</v>
      </c>
      <c r="C33">
        <v>3162</v>
      </c>
    </row>
    <row r="34" spans="2:7">
      <c r="C34">
        <f>C32/C33</f>
        <v>612.46046805819105</v>
      </c>
    </row>
    <row r="36" spans="2:7">
      <c r="B36" s="1" t="s">
        <v>22</v>
      </c>
      <c r="D36" t="s">
        <v>46</v>
      </c>
      <c r="E36" t="s">
        <v>47</v>
      </c>
      <c r="F36" t="s">
        <v>48</v>
      </c>
    </row>
    <row r="37" spans="2:7">
      <c r="B37">
        <v>6</v>
      </c>
    </row>
    <row r="38" spans="2:7">
      <c r="B38">
        <v>8</v>
      </c>
    </row>
    <row r="39" spans="2:7">
      <c r="B39">
        <v>10</v>
      </c>
    </row>
    <row r="40" spans="2:7">
      <c r="B40">
        <v>12</v>
      </c>
      <c r="C40" s="15">
        <v>19190000</v>
      </c>
      <c r="D40" s="16">
        <f>C40/C27*$C$33/$C$46</f>
        <v>2.7305625756004837</v>
      </c>
      <c r="E40" s="16">
        <f>1/(C40/C14*$C$20/$C$46)</f>
        <v>1.2648587806149039</v>
      </c>
      <c r="F40" s="16">
        <f>1/(C27/C14*$C$20/$C$33)</f>
        <v>3.4537760497667187</v>
      </c>
    </row>
    <row r="41" spans="2:7">
      <c r="B41">
        <v>14</v>
      </c>
      <c r="C41" s="15">
        <v>19290000</v>
      </c>
      <c r="D41" s="16">
        <f t="shared" ref="D41:D43" si="0">C41/C28*$C$33/$C$46</f>
        <v>2.7236127186213994</v>
      </c>
      <c r="E41" s="16">
        <f t="shared" ref="E41:E43" si="1">1/(C41/C15*$C$20/$C$46)</f>
        <v>1.2642737169517884</v>
      </c>
      <c r="F41" s="16">
        <f t="shared" ref="F41:F43" si="2">1/(C28/C15*$C$20/$C$33)</f>
        <v>3.4433919753086419</v>
      </c>
    </row>
    <row r="42" spans="2:7">
      <c r="B42">
        <v>16</v>
      </c>
      <c r="C42" s="15">
        <v>19350000</v>
      </c>
      <c r="D42" s="16">
        <f t="shared" si="0"/>
        <v>2.7236778846153844</v>
      </c>
      <c r="E42" s="16">
        <f t="shared" si="1"/>
        <v>1.2651162790697674</v>
      </c>
      <c r="F42" s="16">
        <f t="shared" si="2"/>
        <v>3.4457692307692307</v>
      </c>
    </row>
    <row r="43" spans="2:7">
      <c r="B43">
        <v>18</v>
      </c>
      <c r="C43" s="15">
        <v>19400000</v>
      </c>
      <c r="D43" s="16">
        <f t="shared" si="0"/>
        <v>2.7251258103036506</v>
      </c>
      <c r="E43" s="16">
        <f t="shared" si="1"/>
        <v>1.2660123711340208</v>
      </c>
      <c r="F43" s="16">
        <f t="shared" si="2"/>
        <v>3.450042988741044</v>
      </c>
    </row>
    <row r="44" spans="2:7">
      <c r="B44">
        <v>20</v>
      </c>
      <c r="C44" s="15"/>
      <c r="D44" s="16"/>
      <c r="E44" s="16"/>
      <c r="F44" s="16"/>
    </row>
    <row r="45" spans="2:7">
      <c r="B45" t="s">
        <v>18</v>
      </c>
      <c r="C45">
        <f>AVERAGE(C37:C41)</f>
        <v>19240000</v>
      </c>
      <c r="D45" s="16">
        <f t="shared" ref="D45:F45" si="3">AVERAGE(D37:D41)</f>
        <v>2.7270876471109418</v>
      </c>
      <c r="E45" s="16">
        <f t="shared" si="3"/>
        <v>1.2645662487833462</v>
      </c>
      <c r="F45" s="16">
        <f t="shared" si="3"/>
        <v>3.4485840125376805</v>
      </c>
    </row>
    <row r="46" spans="2:7">
      <c r="B46" t="s">
        <v>17</v>
      </c>
      <c r="C46" s="15">
        <v>11520</v>
      </c>
      <c r="D46" s="7">
        <f>STDEV(D40:D43)</f>
        <v>3.286944892643365E-3</v>
      </c>
      <c r="E46" s="7">
        <f t="shared" ref="E46:F46" si="4">STDEV(E40:E43)</f>
        <v>7.2314050649562815E-4</v>
      </c>
      <c r="F46" s="7">
        <f t="shared" si="4"/>
        <v>4.6009621080392677E-3</v>
      </c>
      <c r="G46" t="s">
        <v>50</v>
      </c>
    </row>
    <row r="47" spans="2:7">
      <c r="C47">
        <f>C45/C46</f>
        <v>1670.1388888888889</v>
      </c>
    </row>
    <row r="49" spans="2:8">
      <c r="B49" s="1" t="s">
        <v>60</v>
      </c>
      <c r="D49" t="s">
        <v>46</v>
      </c>
      <c r="E49" t="s">
        <v>47</v>
      </c>
      <c r="F49" t="s">
        <v>48</v>
      </c>
    </row>
    <row r="50" spans="2:8">
      <c r="B50">
        <v>6</v>
      </c>
    </row>
    <row r="51" spans="2:8">
      <c r="B51">
        <v>8</v>
      </c>
    </row>
    <row r="52" spans="2:8">
      <c r="B52">
        <v>10</v>
      </c>
    </row>
    <row r="53" spans="2:8">
      <c r="B53">
        <v>12</v>
      </c>
      <c r="C53" s="15">
        <v>14949</v>
      </c>
      <c r="D53" s="16">
        <f t="shared" ref="D53:D56" si="5">C40/C27*$C$33/$C$46</f>
        <v>2.7305625756004837</v>
      </c>
      <c r="E53" s="16">
        <f t="shared" ref="E53" si="6">1/(C40/C14*$C$20/$C$46)</f>
        <v>1.2648587806149039</v>
      </c>
      <c r="F53" s="16">
        <f t="shared" ref="F53" si="7">1/(C27/C14*$C$20/$C$33)</f>
        <v>3.4537760497667187</v>
      </c>
      <c r="G53" s="16">
        <f>C53/C40*(C$46/C$59)</f>
        <v>8.974073996873372</v>
      </c>
    </row>
    <row r="54" spans="2:8">
      <c r="B54">
        <v>14</v>
      </c>
      <c r="C54" s="15">
        <v>15361</v>
      </c>
      <c r="D54" s="16">
        <f t="shared" si="5"/>
        <v>2.7236127186213994</v>
      </c>
      <c r="E54" s="16">
        <f t="shared" ref="E54:E56" si="8">1/(C41/C15*$C$20/$C$46)</f>
        <v>1.2642737169517884</v>
      </c>
      <c r="F54" s="16">
        <f t="shared" ref="F54:F56" si="9">1/(C28/C15*$C$20/$C$33)</f>
        <v>3.4433919753086419</v>
      </c>
      <c r="G54" s="16">
        <f t="shared" ref="G54:G56" si="10">C54/C41*(C$46/C$59)</f>
        <v>9.1735987558320371</v>
      </c>
    </row>
    <row r="55" spans="2:8">
      <c r="B55">
        <v>16</v>
      </c>
      <c r="C55" s="15">
        <v>15630</v>
      </c>
      <c r="D55" s="16">
        <f t="shared" si="5"/>
        <v>2.7236778846153844</v>
      </c>
      <c r="E55" s="16">
        <f t="shared" si="8"/>
        <v>1.2651162790697674</v>
      </c>
      <c r="F55" s="16">
        <f t="shared" si="9"/>
        <v>3.4457692307692307</v>
      </c>
      <c r="G55" s="16">
        <f t="shared" si="10"/>
        <v>9.3053023255813958</v>
      </c>
    </row>
    <row r="56" spans="2:8">
      <c r="B56">
        <v>18</v>
      </c>
      <c r="C56" s="15">
        <v>15853</v>
      </c>
      <c r="D56" s="16">
        <f t="shared" si="5"/>
        <v>2.7251258103036506</v>
      </c>
      <c r="E56" s="16">
        <f t="shared" si="8"/>
        <v>1.2660123711340208</v>
      </c>
      <c r="F56" s="16">
        <f t="shared" si="9"/>
        <v>3.450042988741044</v>
      </c>
      <c r="G56" s="16">
        <f t="shared" si="10"/>
        <v>9.4137402061855671</v>
      </c>
    </row>
    <row r="57" spans="2:8">
      <c r="B57">
        <v>20</v>
      </c>
      <c r="C57" s="15">
        <v>16068</v>
      </c>
      <c r="D57" s="16"/>
      <c r="E57" s="16"/>
      <c r="F57" s="16"/>
    </row>
    <row r="58" spans="2:8">
      <c r="B58" t="s">
        <v>18</v>
      </c>
      <c r="C58">
        <f>AVERAGE(C50:C57)</f>
        <v>15572.2</v>
      </c>
      <c r="D58" s="16">
        <f>AVERAGE(D53:D57)</f>
        <v>2.7257447472852294</v>
      </c>
      <c r="E58" s="16">
        <f t="shared" ref="E58:G58" si="11">AVERAGE(E53:E57)</f>
        <v>1.2650652869426202</v>
      </c>
      <c r="F58" s="16">
        <f t="shared" si="11"/>
        <v>3.4482450611464093</v>
      </c>
      <c r="G58" s="16">
        <f t="shared" si="11"/>
        <v>9.2166788211180926</v>
      </c>
    </row>
    <row r="59" spans="2:8">
      <c r="B59" t="s">
        <v>17</v>
      </c>
      <c r="C59" s="15">
        <v>1</v>
      </c>
      <c r="D59" s="7">
        <f>STDEV(D53:D56)</f>
        <v>3.286944892643365E-3</v>
      </c>
      <c r="E59" s="7">
        <f t="shared" ref="E59:F59" si="12">STDEV(E53:E56)</f>
        <v>7.2314050649562815E-4</v>
      </c>
      <c r="F59" s="7">
        <f t="shared" si="12"/>
        <v>4.6009621080392677E-3</v>
      </c>
      <c r="G59" t="s">
        <v>50</v>
      </c>
    </row>
    <row r="60" spans="2:8">
      <c r="C60">
        <f>C58/C59</f>
        <v>15572.2</v>
      </c>
    </row>
    <row r="61" spans="2:8">
      <c r="D61" s="33" t="s">
        <v>21</v>
      </c>
      <c r="E61" s="33" t="s">
        <v>22</v>
      </c>
      <c r="F61" s="33" t="s">
        <v>49</v>
      </c>
      <c r="G61" s="33" t="s">
        <v>60</v>
      </c>
      <c r="H61" s="33" t="s">
        <v>57</v>
      </c>
    </row>
    <row r="62" spans="2:8">
      <c r="C62" s="28" t="s">
        <v>59</v>
      </c>
      <c r="D62" s="20">
        <v>1.58</v>
      </c>
      <c r="E62" s="20">
        <v>3.77</v>
      </c>
      <c r="F62" s="20">
        <v>4.57</v>
      </c>
      <c r="G62" s="32">
        <v>18.399999999999999</v>
      </c>
    </row>
    <row r="63" spans="2:8">
      <c r="C63" s="27" t="s">
        <v>58</v>
      </c>
      <c r="D63" s="25">
        <v>1.35</v>
      </c>
      <c r="E63" s="16">
        <f>D63*D45</f>
        <v>3.6815683235997718</v>
      </c>
      <c r="F63" s="16">
        <f>E63*E58</f>
        <v>4.6574242876936065</v>
      </c>
      <c r="G63" s="16">
        <f>E63*G58</f>
        <v>33.931832796621258</v>
      </c>
    </row>
    <row r="64" spans="2:8">
      <c r="D64" s="16">
        <f>D63-D62</f>
        <v>-0.22999999999999998</v>
      </c>
      <c r="E64" s="16">
        <f t="shared" ref="E64:G64" si="13">E63-E62</f>
        <v>-8.8431676400228199E-2</v>
      </c>
      <c r="F64" s="16">
        <f t="shared" si="13"/>
        <v>8.7424287693606217E-2</v>
      </c>
      <c r="G64" s="16">
        <f t="shared" si="13"/>
        <v>15.531832796621259</v>
      </c>
      <c r="H64" s="26">
        <f>SQRT(SUMSQ(D64:G64))</f>
        <v>15.534033384464882</v>
      </c>
    </row>
    <row r="65" spans="4:7">
      <c r="D65" s="70">
        <f>D64/D63</f>
        <v>-0.17037037037037034</v>
      </c>
      <c r="E65" s="70">
        <f t="shared" ref="E65:G65" si="14">E64/E63</f>
        <v>-2.4020110080087087E-2</v>
      </c>
      <c r="F65" s="70">
        <f t="shared" si="14"/>
        <v>1.87709519883359E-2</v>
      </c>
      <c r="G65" s="70">
        <f t="shared" si="14"/>
        <v>0.45773633536729652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4BF4-2A51-4518-B2AF-2A38F58DFAE9}">
  <dimension ref="A2:H65"/>
  <sheetViews>
    <sheetView workbookViewId="0">
      <pane ySplit="3" topLeftCell="A48" activePane="bottomLeft" state="frozen"/>
      <selection pane="bottomLeft" activeCell="D65" sqref="D65:G65"/>
    </sheetView>
  </sheetViews>
  <sheetFormatPr defaultRowHeight="14.5"/>
  <cols>
    <col min="4" max="4" width="11" customWidth="1"/>
    <col min="5" max="6" width="9.36328125" bestFit="1" customWidth="1"/>
  </cols>
  <sheetData>
    <row r="2" spans="1:7">
      <c r="C2" s="1" t="s">
        <v>3</v>
      </c>
    </row>
    <row r="3" spans="1:7">
      <c r="C3" s="3" t="s">
        <v>8</v>
      </c>
      <c r="D3" s="4" t="s">
        <v>37</v>
      </c>
    </row>
    <row r="4" spans="1:7">
      <c r="A4" s="11" t="s">
        <v>13</v>
      </c>
      <c r="B4" s="11"/>
      <c r="C4" s="13">
        <v>1626</v>
      </c>
      <c r="D4" s="14">
        <f>C4/C$6</f>
        <v>24.636363636363637</v>
      </c>
    </row>
    <row r="5" spans="1:7">
      <c r="A5" s="11" t="s">
        <v>14</v>
      </c>
      <c r="B5" s="11"/>
      <c r="C5" s="13">
        <v>240</v>
      </c>
      <c r="D5" s="14">
        <f>C5/C$6</f>
        <v>3.6363636363636362</v>
      </c>
    </row>
    <row r="6" spans="1:7">
      <c r="A6" t="s">
        <v>15</v>
      </c>
      <c r="C6" s="8">
        <v>66</v>
      </c>
      <c r="D6" s="9">
        <f>C6/C$6</f>
        <v>1</v>
      </c>
    </row>
    <row r="7" spans="1:7">
      <c r="A7" t="s">
        <v>16</v>
      </c>
      <c r="C7" s="8">
        <v>217</v>
      </c>
      <c r="D7" s="9">
        <f>C7/C$6</f>
        <v>3.2878787878787881</v>
      </c>
      <c r="E7" s="7" t="e">
        <f>AVERAGE(#REF!,D7,#REF!,#REF!,#REF!)</f>
        <v>#REF!</v>
      </c>
      <c r="F7" t="e">
        <f>STDEV(#REF!,D7,#REF!,#REF!,#REF!)</f>
        <v>#REF!</v>
      </c>
      <c r="G7" t="e">
        <f>1.96*F7/SQRT(5)</f>
        <v>#REF!</v>
      </c>
    </row>
    <row r="10" spans="1:7">
      <c r="B10" s="1" t="s">
        <v>45</v>
      </c>
    </row>
    <row r="11" spans="1:7">
      <c r="B11">
        <v>6</v>
      </c>
    </row>
    <row r="12" spans="1:7">
      <c r="B12">
        <v>8</v>
      </c>
    </row>
    <row r="13" spans="1:7">
      <c r="B13">
        <v>10</v>
      </c>
      <c r="C13">
        <v>718</v>
      </c>
    </row>
    <row r="14" spans="1:7">
      <c r="B14">
        <v>12</v>
      </c>
      <c r="C14">
        <v>726</v>
      </c>
    </row>
    <row r="15" spans="1:7">
      <c r="B15">
        <v>14</v>
      </c>
      <c r="C15">
        <v>734</v>
      </c>
    </row>
    <row r="16" spans="1:7">
      <c r="B16">
        <v>16</v>
      </c>
      <c r="C16">
        <v>741</v>
      </c>
    </row>
    <row r="17" spans="2:3">
      <c r="B17">
        <v>18</v>
      </c>
      <c r="C17">
        <v>746</v>
      </c>
    </row>
    <row r="18" spans="2:3">
      <c r="B18">
        <v>20</v>
      </c>
      <c r="C18">
        <v>752</v>
      </c>
    </row>
    <row r="19" spans="2:3">
      <c r="B19" t="s">
        <v>18</v>
      </c>
      <c r="C19">
        <f>AVERAGE(C11:C18)</f>
        <v>736.16666666666663</v>
      </c>
    </row>
    <row r="20" spans="2:3">
      <c r="B20" t="s">
        <v>17</v>
      </c>
      <c r="C20">
        <v>1</v>
      </c>
    </row>
    <row r="21" spans="2:3">
      <c r="C21">
        <f>C19/C20</f>
        <v>736.16666666666663</v>
      </c>
    </row>
    <row r="23" spans="2:3">
      <c r="B23" s="1" t="s">
        <v>21</v>
      </c>
    </row>
    <row r="24" spans="2:3">
      <c r="B24">
        <v>6</v>
      </c>
    </row>
    <row r="25" spans="2:3">
      <c r="B25">
        <v>8</v>
      </c>
    </row>
    <row r="26" spans="2:3">
      <c r="B26">
        <v>10</v>
      </c>
      <c r="C26" s="15"/>
    </row>
    <row r="27" spans="2:3">
      <c r="B27">
        <v>12</v>
      </c>
      <c r="C27">
        <v>715907</v>
      </c>
    </row>
    <row r="28" spans="2:3">
      <c r="B28">
        <v>14</v>
      </c>
      <c r="C28" s="15">
        <v>731786</v>
      </c>
    </row>
    <row r="29" spans="2:3">
      <c r="B29">
        <v>16</v>
      </c>
      <c r="C29" s="15">
        <v>742827</v>
      </c>
    </row>
    <row r="30" spans="2:3">
      <c r="B30">
        <v>18</v>
      </c>
      <c r="C30" s="15">
        <v>757315</v>
      </c>
    </row>
    <row r="31" spans="2:3">
      <c r="B31">
        <v>20</v>
      </c>
      <c r="C31" s="15">
        <v>777592</v>
      </c>
    </row>
    <row r="32" spans="2:3">
      <c r="B32" t="s">
        <v>18</v>
      </c>
      <c r="C32">
        <f>AVERAGE(C24:C30)</f>
        <v>736958.75</v>
      </c>
    </row>
    <row r="33" spans="2:6">
      <c r="B33" t="s">
        <v>17</v>
      </c>
      <c r="C33">
        <v>3162</v>
      </c>
    </row>
    <row r="34" spans="2:6">
      <c r="C34">
        <f>C32/C33</f>
        <v>233.06728336495888</v>
      </c>
    </row>
    <row r="36" spans="2:6">
      <c r="B36" s="1" t="s">
        <v>22</v>
      </c>
      <c r="D36" t="s">
        <v>46</v>
      </c>
      <c r="E36" t="s">
        <v>47</v>
      </c>
      <c r="F36" t="s">
        <v>48</v>
      </c>
    </row>
    <row r="37" spans="2:6">
      <c r="B37">
        <v>6</v>
      </c>
    </row>
    <row r="38" spans="2:6">
      <c r="B38">
        <v>8</v>
      </c>
    </row>
    <row r="39" spans="2:6">
      <c r="B39">
        <v>10</v>
      </c>
    </row>
    <row r="40" spans="2:6">
      <c r="B40">
        <v>12</v>
      </c>
      <c r="C40" s="15">
        <v>7003000</v>
      </c>
      <c r="D40" s="16"/>
      <c r="E40" s="16"/>
      <c r="F40" s="16"/>
    </row>
    <row r="41" spans="2:6">
      <c r="B41">
        <v>14</v>
      </c>
      <c r="C41" s="15">
        <v>7046000</v>
      </c>
      <c r="D41" s="16"/>
      <c r="E41" s="16"/>
      <c r="F41" s="16"/>
    </row>
    <row r="42" spans="2:6">
      <c r="B42">
        <v>16</v>
      </c>
      <c r="C42" s="15">
        <v>7088000</v>
      </c>
      <c r="D42" s="16"/>
      <c r="E42" s="16"/>
      <c r="F42" s="16"/>
    </row>
    <row r="43" spans="2:6">
      <c r="B43">
        <v>18</v>
      </c>
      <c r="C43" s="15">
        <v>7124000</v>
      </c>
      <c r="D43" s="16"/>
      <c r="E43" s="16"/>
      <c r="F43" s="16"/>
    </row>
    <row r="44" spans="2:6">
      <c r="B44">
        <v>20</v>
      </c>
      <c r="C44" s="15">
        <v>7130000</v>
      </c>
      <c r="D44" s="16"/>
      <c r="E44" s="16"/>
      <c r="F44" s="16"/>
    </row>
    <row r="45" spans="2:6">
      <c r="B45" t="s">
        <v>18</v>
      </c>
      <c r="C45">
        <f>AVERAGE(C37:C41)</f>
        <v>7024500</v>
      </c>
      <c r="D45" s="16"/>
      <c r="E45" s="16"/>
      <c r="F45" s="16"/>
    </row>
    <row r="46" spans="2:6">
      <c r="B46" t="s">
        <v>17</v>
      </c>
      <c r="C46" s="15">
        <v>11520</v>
      </c>
      <c r="D46" s="7"/>
      <c r="E46" s="7"/>
      <c r="F46" s="7"/>
    </row>
    <row r="47" spans="2:6">
      <c r="C47">
        <f>C45/C46</f>
        <v>609.765625</v>
      </c>
    </row>
    <row r="49" spans="2:8">
      <c r="B49" s="1" t="s">
        <v>60</v>
      </c>
      <c r="D49" t="s">
        <v>46</v>
      </c>
      <c r="E49" t="s">
        <v>47</v>
      </c>
      <c r="F49" t="s">
        <v>48</v>
      </c>
      <c r="G49" t="s">
        <v>61</v>
      </c>
    </row>
    <row r="50" spans="2:8">
      <c r="B50">
        <v>6</v>
      </c>
      <c r="D50" s="16"/>
      <c r="E50" s="16"/>
      <c r="F50" s="16"/>
    </row>
    <row r="51" spans="2:8">
      <c r="B51">
        <v>8</v>
      </c>
      <c r="D51" s="16"/>
      <c r="E51" s="16"/>
      <c r="F51" s="16"/>
      <c r="G51" s="15"/>
    </row>
    <row r="52" spans="2:8">
      <c r="B52">
        <v>10</v>
      </c>
      <c r="D52" s="16"/>
      <c r="E52" s="16"/>
      <c r="F52" s="16"/>
    </row>
    <row r="53" spans="2:8">
      <c r="B53">
        <v>12</v>
      </c>
      <c r="C53" s="15">
        <v>5868</v>
      </c>
      <c r="D53" s="16">
        <f t="shared" ref="D53:D57" si="0">C40/C27*$C$33/$C$46</f>
        <v>2.6849543364803901</v>
      </c>
      <c r="E53" s="16">
        <f t="shared" ref="E53:E57" si="1">1/(C40/C14*$C$20/$C$46)</f>
        <v>1.1942767385406254</v>
      </c>
      <c r="F53" s="16">
        <f t="shared" ref="F53:F57" si="2">1/(C27/C14*$C$20/$C$33)</f>
        <v>3.2065785081023095</v>
      </c>
      <c r="G53" s="16">
        <f>C53/C40*(C$46/C$59)</f>
        <v>9.6529144652291876</v>
      </c>
    </row>
    <row r="54" spans="2:8">
      <c r="B54">
        <v>14</v>
      </c>
      <c r="C54" s="15">
        <v>5971</v>
      </c>
      <c r="D54" s="16">
        <f t="shared" si="0"/>
        <v>2.6428220932531277</v>
      </c>
      <c r="E54" s="16">
        <f t="shared" si="1"/>
        <v>1.2000681237581605</v>
      </c>
      <c r="F54" s="16">
        <f t="shared" si="2"/>
        <v>3.171566550876896</v>
      </c>
      <c r="G54" s="16">
        <f t="shared" ref="G54:G57" si="3">C54/C41*(C$46/C$59)</f>
        <v>9.7624070394550113</v>
      </c>
    </row>
    <row r="55" spans="2:8">
      <c r="B55">
        <v>16</v>
      </c>
      <c r="C55" s="15">
        <v>6032</v>
      </c>
      <c r="D55" s="16">
        <f t="shared" si="0"/>
        <v>2.6190597990290247</v>
      </c>
      <c r="E55" s="16">
        <f t="shared" si="1"/>
        <v>1.204334085778781</v>
      </c>
      <c r="F55" s="16">
        <f t="shared" si="2"/>
        <v>3.1542229886635784</v>
      </c>
      <c r="G55" s="16">
        <f t="shared" si="3"/>
        <v>9.8037020316027093</v>
      </c>
    </row>
    <row r="56" spans="2:8">
      <c r="B56">
        <v>18</v>
      </c>
      <c r="C56" s="15">
        <v>6073</v>
      </c>
      <c r="D56" s="16">
        <f t="shared" si="0"/>
        <v>2.5820029754241411</v>
      </c>
      <c r="E56" s="16">
        <f t="shared" si="1"/>
        <v>1.2063335204941046</v>
      </c>
      <c r="F56" s="16">
        <f t="shared" si="2"/>
        <v>3.1147567392696569</v>
      </c>
      <c r="G56" s="16">
        <f t="shared" si="3"/>
        <v>9.8204604154969122</v>
      </c>
    </row>
    <row r="57" spans="2:8">
      <c r="B57">
        <v>20</v>
      </c>
      <c r="C57" s="15">
        <v>6093</v>
      </c>
      <c r="D57" s="16">
        <f t="shared" si="0"/>
        <v>2.5167908856229659</v>
      </c>
      <c r="E57" s="16">
        <f t="shared" si="1"/>
        <v>1.2150126227208975</v>
      </c>
      <c r="F57" s="16">
        <f t="shared" si="2"/>
        <v>3.0579326947808103</v>
      </c>
      <c r="G57" s="16">
        <f t="shared" si="3"/>
        <v>9.8445105189340811</v>
      </c>
    </row>
    <row r="58" spans="2:8">
      <c r="B58" t="s">
        <v>18</v>
      </c>
      <c r="C58">
        <f>AVERAGE(C50:C57)</f>
        <v>6007.4</v>
      </c>
      <c r="D58" s="16">
        <f>AVERAGE(D53:D57)</f>
        <v>2.6091260179619296</v>
      </c>
      <c r="E58" s="16">
        <f t="shared" ref="E58:G58" si="4">AVERAGE(E53:E57)</f>
        <v>1.2040050182585138</v>
      </c>
      <c r="F58" s="16">
        <f t="shared" si="4"/>
        <v>3.14101149633865</v>
      </c>
      <c r="G58" s="16">
        <f t="shared" si="4"/>
        <v>9.7767988941435799</v>
      </c>
    </row>
    <row r="59" spans="2:8">
      <c r="B59" t="s">
        <v>17</v>
      </c>
      <c r="C59" s="15">
        <v>1</v>
      </c>
      <c r="D59" s="7">
        <f>STDEV(D53:D58)</f>
        <v>5.7000834180241218E-2</v>
      </c>
      <c r="E59" s="7">
        <f t="shared" ref="E59:G59" si="5">STDEV(E53:E58)</f>
        <v>6.88238517769422E-3</v>
      </c>
      <c r="F59" s="7">
        <f t="shared" si="5"/>
        <v>5.0987424833857695E-2</v>
      </c>
      <c r="G59" s="7">
        <f t="shared" si="5"/>
        <v>6.7482514168670266E-2</v>
      </c>
      <c r="H59" t="s">
        <v>50</v>
      </c>
    </row>
    <row r="60" spans="2:8">
      <c r="C60">
        <f>C58/C59</f>
        <v>6007.4</v>
      </c>
    </row>
    <row r="61" spans="2:8">
      <c r="D61" s="33" t="s">
        <v>21</v>
      </c>
      <c r="E61" s="33" t="s">
        <v>22</v>
      </c>
      <c r="F61" s="33" t="s">
        <v>49</v>
      </c>
      <c r="G61" s="33" t="s">
        <v>60</v>
      </c>
      <c r="H61" s="33" t="s">
        <v>57</v>
      </c>
    </row>
    <row r="62" spans="2:8">
      <c r="C62" s="28" t="s">
        <v>59</v>
      </c>
      <c r="D62" s="20">
        <v>1.58</v>
      </c>
      <c r="E62" s="20">
        <v>3.77</v>
      </c>
      <c r="F62" s="20">
        <v>4.57</v>
      </c>
      <c r="G62" s="32">
        <v>18.399999999999999</v>
      </c>
    </row>
    <row r="63" spans="2:8">
      <c r="C63" s="27" t="s">
        <v>58</v>
      </c>
      <c r="D63" s="25">
        <v>1.45</v>
      </c>
      <c r="E63" s="16">
        <f>D63*D58</f>
        <v>3.7832327260447975</v>
      </c>
      <c r="F63" s="16">
        <f>E63*E58</f>
        <v>4.5550311873977734</v>
      </c>
      <c r="G63" s="16">
        <f>E63*G58</f>
        <v>36.987905532282575</v>
      </c>
    </row>
    <row r="64" spans="2:8">
      <c r="D64" s="16">
        <f>D63-D62</f>
        <v>-0.13000000000000012</v>
      </c>
      <c r="E64" s="16">
        <f t="shared" ref="E64:G64" si="6">E63-E62</f>
        <v>1.3232726044797527E-2</v>
      </c>
      <c r="F64" s="16">
        <f t="shared" si="6"/>
        <v>-1.4968812602226933E-2</v>
      </c>
      <c r="G64" s="16">
        <f t="shared" si="6"/>
        <v>18.587905532282576</v>
      </c>
      <c r="H64" s="26">
        <f>SQRT(SUMSQ(D64:G64))</f>
        <v>18.588370860499058</v>
      </c>
    </row>
    <row r="65" spans="4:7">
      <c r="D65" s="70">
        <f>D64/D63</f>
        <v>-8.9655172413793185E-2</v>
      </c>
      <c r="E65" s="70">
        <f t="shared" ref="E65:G65" si="7">E64/E63</f>
        <v>3.4977298524882863E-3</v>
      </c>
      <c r="F65" s="70">
        <f t="shared" si="7"/>
        <v>-3.2862151731563468E-3</v>
      </c>
      <c r="G65" s="70">
        <f t="shared" si="7"/>
        <v>0.50254009424943746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6A3D-CBD1-41D2-9B69-F00F67F529C8}">
  <dimension ref="A2:H65"/>
  <sheetViews>
    <sheetView workbookViewId="0">
      <pane ySplit="3" topLeftCell="A49" activePane="bottomLeft" state="frozen"/>
      <selection pane="bottomLeft" activeCell="D65" sqref="D65:G65"/>
    </sheetView>
  </sheetViews>
  <sheetFormatPr defaultRowHeight="14.5"/>
  <cols>
    <col min="4" max="4" width="11.90625" customWidth="1"/>
    <col min="5" max="6" width="9.36328125" bestFit="1" customWidth="1"/>
  </cols>
  <sheetData>
    <row r="2" spans="1:7">
      <c r="C2" s="1" t="s">
        <v>3</v>
      </c>
    </row>
    <row r="3" spans="1:7">
      <c r="C3" s="3" t="s">
        <v>8</v>
      </c>
      <c r="D3" s="4" t="s">
        <v>56</v>
      </c>
    </row>
    <row r="4" spans="1:7">
      <c r="A4" s="11" t="s">
        <v>13</v>
      </c>
      <c r="B4" s="11"/>
      <c r="C4" s="13">
        <v>1626</v>
      </c>
      <c r="D4" s="14">
        <f>C4/C$6</f>
        <v>24.636363636363637</v>
      </c>
    </row>
    <row r="5" spans="1:7">
      <c r="A5" s="11" t="s">
        <v>14</v>
      </c>
      <c r="B5" s="11"/>
      <c r="C5" s="13">
        <v>240</v>
      </c>
      <c r="D5" s="14">
        <f>C5/C$6</f>
        <v>3.6363636363636362</v>
      </c>
    </row>
    <row r="6" spans="1:7">
      <c r="A6" t="s">
        <v>15</v>
      </c>
      <c r="C6" s="8">
        <v>66</v>
      </c>
      <c r="D6" s="9">
        <f>C6/C$6</f>
        <v>1</v>
      </c>
    </row>
    <row r="7" spans="1:7">
      <c r="A7" t="s">
        <v>16</v>
      </c>
      <c r="C7" s="8">
        <v>217</v>
      </c>
      <c r="D7" s="9">
        <f>C7/C$6</f>
        <v>3.2878787878787881</v>
      </c>
      <c r="E7" s="7" t="e">
        <f>AVERAGE(#REF!,D7,#REF!,#REF!,#REF!)</f>
        <v>#REF!</v>
      </c>
      <c r="F7" t="e">
        <f>STDEV(#REF!,D7,#REF!,#REF!,#REF!)</f>
        <v>#REF!</v>
      </c>
      <c r="G7" t="e">
        <f>1.96*F7/SQRT(5)</f>
        <v>#REF!</v>
      </c>
    </row>
    <row r="10" spans="1:7">
      <c r="B10" s="1" t="s">
        <v>45</v>
      </c>
    </row>
    <row r="11" spans="1:7">
      <c r="B11">
        <v>6</v>
      </c>
      <c r="C11">
        <v>7876</v>
      </c>
    </row>
    <row r="12" spans="1:7">
      <c r="B12">
        <v>8</v>
      </c>
      <c r="C12">
        <v>8271</v>
      </c>
    </row>
    <row r="13" spans="1:7">
      <c r="B13">
        <v>10</v>
      </c>
      <c r="C13">
        <v>8332</v>
      </c>
    </row>
    <row r="14" spans="1:7">
      <c r="B14">
        <v>12</v>
      </c>
      <c r="C14">
        <v>8297</v>
      </c>
    </row>
    <row r="15" spans="1:7">
      <c r="B15">
        <v>14</v>
      </c>
    </row>
    <row r="16" spans="1:7">
      <c r="B16">
        <v>16</v>
      </c>
    </row>
    <row r="17" spans="2:3">
      <c r="B17">
        <v>18</v>
      </c>
    </row>
    <row r="18" spans="2:3">
      <c r="B18">
        <v>20</v>
      </c>
    </row>
    <row r="19" spans="2:3">
      <c r="B19" t="s">
        <v>18</v>
      </c>
      <c r="C19">
        <f>AVERAGE(C11:C18)</f>
        <v>8194</v>
      </c>
    </row>
    <row r="20" spans="2:3">
      <c r="B20" t="s">
        <v>17</v>
      </c>
      <c r="C20">
        <v>1</v>
      </c>
    </row>
    <row r="21" spans="2:3">
      <c r="C21">
        <f>C19/C20</f>
        <v>8194</v>
      </c>
    </row>
    <row r="23" spans="2:3">
      <c r="B23" s="1" t="s">
        <v>21</v>
      </c>
    </row>
    <row r="24" spans="2:3">
      <c r="B24">
        <v>6</v>
      </c>
      <c r="C24" s="15">
        <v>7430000</v>
      </c>
    </row>
    <row r="25" spans="2:3">
      <c r="B25">
        <v>8</v>
      </c>
      <c r="C25" s="15">
        <v>7826000</v>
      </c>
    </row>
    <row r="26" spans="2:3">
      <c r="B26">
        <v>10</v>
      </c>
      <c r="C26" s="15">
        <v>7816000</v>
      </c>
    </row>
    <row r="27" spans="2:3">
      <c r="B27">
        <v>12</v>
      </c>
      <c r="C27" s="15">
        <v>7654000</v>
      </c>
    </row>
    <row r="28" spans="2:3">
      <c r="B28">
        <v>14</v>
      </c>
      <c r="C28" s="15"/>
    </row>
    <row r="29" spans="2:3">
      <c r="B29">
        <v>16</v>
      </c>
      <c r="C29" s="15"/>
    </row>
    <row r="30" spans="2:3">
      <c r="B30">
        <v>18</v>
      </c>
      <c r="C30" s="15"/>
    </row>
    <row r="31" spans="2:3">
      <c r="B31">
        <v>20</v>
      </c>
      <c r="C31" s="15"/>
    </row>
    <row r="32" spans="2:3">
      <c r="B32" t="s">
        <v>18</v>
      </c>
      <c r="C32">
        <f>AVERAGE(C24:C30)</f>
        <v>7681500</v>
      </c>
    </row>
    <row r="33" spans="2:6">
      <c r="B33" t="s">
        <v>17</v>
      </c>
      <c r="C33">
        <v>3162</v>
      </c>
    </row>
    <row r="34" spans="2:6">
      <c r="C34">
        <f>C32/C33</f>
        <v>2429.316888045541</v>
      </c>
    </row>
    <row r="36" spans="2:6">
      <c r="B36" s="1" t="s">
        <v>22</v>
      </c>
    </row>
    <row r="37" spans="2:6">
      <c r="B37">
        <v>6</v>
      </c>
      <c r="D37" s="16"/>
      <c r="E37" s="16"/>
      <c r="F37" s="16"/>
    </row>
    <row r="38" spans="2:6">
      <c r="B38">
        <v>8</v>
      </c>
      <c r="C38" s="15">
        <v>75360000</v>
      </c>
      <c r="D38" s="16"/>
      <c r="E38" s="16"/>
      <c r="F38" s="16"/>
    </row>
    <row r="39" spans="2:6">
      <c r="B39">
        <v>10</v>
      </c>
      <c r="C39" s="15">
        <v>76720000</v>
      </c>
      <c r="D39" s="16"/>
      <c r="E39" s="16"/>
      <c r="F39" s="16"/>
    </row>
    <row r="40" spans="2:6">
      <c r="B40">
        <v>12</v>
      </c>
      <c r="C40" s="15">
        <v>77200000</v>
      </c>
      <c r="D40" s="16"/>
      <c r="E40" s="16"/>
      <c r="F40" s="16"/>
    </row>
    <row r="41" spans="2:6">
      <c r="B41">
        <v>14</v>
      </c>
      <c r="C41" s="15">
        <v>77530000</v>
      </c>
      <c r="D41" s="16"/>
      <c r="E41" s="16"/>
      <c r="F41" s="16"/>
    </row>
    <row r="42" spans="2:6">
      <c r="B42">
        <v>16</v>
      </c>
      <c r="C42" s="15"/>
      <c r="D42" s="16"/>
      <c r="E42" s="16"/>
      <c r="F42" s="16"/>
    </row>
    <row r="43" spans="2:6">
      <c r="B43">
        <v>18</v>
      </c>
      <c r="C43" s="15"/>
      <c r="D43" s="16"/>
      <c r="E43" s="16"/>
      <c r="F43" s="16"/>
    </row>
    <row r="44" spans="2:6">
      <c r="B44">
        <v>20</v>
      </c>
      <c r="C44" s="15"/>
      <c r="D44" s="16"/>
      <c r="E44" s="16"/>
      <c r="F44" s="16"/>
    </row>
    <row r="45" spans="2:6">
      <c r="B45" t="s">
        <v>18</v>
      </c>
      <c r="C45">
        <f>AVERAGE(C37:C41)</f>
        <v>76702500</v>
      </c>
      <c r="D45" s="16"/>
      <c r="E45" s="16"/>
      <c r="F45" s="16"/>
    </row>
    <row r="46" spans="2:6">
      <c r="B46" t="s">
        <v>17</v>
      </c>
      <c r="C46" s="15">
        <v>11520</v>
      </c>
      <c r="D46" s="7"/>
      <c r="E46" s="7"/>
      <c r="F46" s="7"/>
    </row>
    <row r="47" spans="2:6">
      <c r="C47">
        <f>C45/C46</f>
        <v>6658.203125</v>
      </c>
    </row>
    <row r="49" spans="2:8">
      <c r="B49" s="1" t="s">
        <v>60</v>
      </c>
      <c r="D49" t="s">
        <v>46</v>
      </c>
      <c r="E49" t="s">
        <v>47</v>
      </c>
      <c r="F49" t="s">
        <v>48</v>
      </c>
      <c r="G49" t="s">
        <v>61</v>
      </c>
    </row>
    <row r="50" spans="2:8">
      <c r="B50">
        <v>6</v>
      </c>
      <c r="D50" s="16"/>
      <c r="E50" s="16"/>
      <c r="F50" s="16">
        <f>1/(C24/C11*$C$20/$C$33)</f>
        <v>3.3518051144010772</v>
      </c>
    </row>
    <row r="51" spans="2:8">
      <c r="B51">
        <v>8</v>
      </c>
      <c r="C51" s="15">
        <v>51965</v>
      </c>
      <c r="D51" s="16">
        <f>C38/C25*$C$33/$C$46</f>
        <v>2.6430807564528491</v>
      </c>
      <c r="E51" s="16">
        <f>1/(C38/C12*$C$20/$C$46)</f>
        <v>1.264356687898089</v>
      </c>
      <c r="F51" s="16">
        <f t="shared" ref="F51:F53" si="0">1/(C25/C12*$C$20/$C$33)</f>
        <v>3.341796831075901</v>
      </c>
      <c r="G51" s="15">
        <f>C51/C38</f>
        <v>6.8955679405520171E-4</v>
      </c>
    </row>
    <row r="52" spans="2:8">
      <c r="B52">
        <v>10</v>
      </c>
      <c r="C52" s="15">
        <v>56462</v>
      </c>
      <c r="D52" s="16">
        <f t="shared" ref="D52:D54" si="1">C39/C26*$C$33/$C$46</f>
        <v>2.6942223217331969</v>
      </c>
      <c r="E52" s="16">
        <f t="shared" ref="E52:E53" si="2">1/(C39/C13*$C$20/$C$46)</f>
        <v>1.2511032325338896</v>
      </c>
      <c r="F52" s="16">
        <f t="shared" si="0"/>
        <v>3.3707502558853637</v>
      </c>
    </row>
    <row r="53" spans="2:8">
      <c r="B53">
        <v>12</v>
      </c>
      <c r="C53" s="15">
        <v>58057</v>
      </c>
      <c r="D53" s="16">
        <f t="shared" si="1"/>
        <v>2.7684598467032489</v>
      </c>
      <c r="E53" s="16">
        <f t="shared" si="2"/>
        <v>1.2381015544041452</v>
      </c>
      <c r="F53" s="16">
        <f t="shared" si="0"/>
        <v>3.4276344395087541</v>
      </c>
    </row>
    <row r="54" spans="2:8">
      <c r="B54">
        <v>14</v>
      </c>
      <c r="C54" s="15">
        <v>58717</v>
      </c>
      <c r="D54" s="16" t="e">
        <f t="shared" si="1"/>
        <v>#DIV/0!</v>
      </c>
      <c r="E54" s="16" t="e">
        <f t="shared" ref="E54:E57" si="3">1/(C54/C28*$C$20/$C$46)</f>
        <v>#DIV/0!</v>
      </c>
      <c r="F54" s="16" t="e">
        <f t="shared" ref="F54:F57" si="4">1/(C41/C28*$C$20/$C$33)</f>
        <v>#DIV/0!</v>
      </c>
    </row>
    <row r="55" spans="2:8">
      <c r="B55">
        <v>16</v>
      </c>
      <c r="C55" s="15"/>
      <c r="D55" s="16" t="e">
        <f t="shared" ref="D55:D57" si="5">C55/C42*$C$33/$C$46</f>
        <v>#DIV/0!</v>
      </c>
      <c r="E55" s="16" t="e">
        <f t="shared" si="3"/>
        <v>#DIV/0!</v>
      </c>
      <c r="F55" s="16" t="e">
        <f t="shared" si="4"/>
        <v>#DIV/0!</v>
      </c>
    </row>
    <row r="56" spans="2:8">
      <c r="B56">
        <v>18</v>
      </c>
      <c r="C56" s="15"/>
      <c r="D56" s="16" t="e">
        <f t="shared" si="5"/>
        <v>#DIV/0!</v>
      </c>
      <c r="E56" s="16" t="e">
        <f t="shared" si="3"/>
        <v>#DIV/0!</v>
      </c>
      <c r="F56" s="16" t="e">
        <f t="shared" si="4"/>
        <v>#DIV/0!</v>
      </c>
    </row>
    <row r="57" spans="2:8">
      <c r="B57">
        <v>20</v>
      </c>
      <c r="C57" s="15"/>
      <c r="D57" s="16" t="e">
        <f t="shared" si="5"/>
        <v>#DIV/0!</v>
      </c>
      <c r="E57" s="16" t="e">
        <f t="shared" si="3"/>
        <v>#DIV/0!</v>
      </c>
      <c r="F57" s="16" t="e">
        <f t="shared" si="4"/>
        <v>#DIV/0!</v>
      </c>
    </row>
    <row r="58" spans="2:8">
      <c r="B58" t="s">
        <v>18</v>
      </c>
      <c r="C58">
        <f>AVERAGE(C50:C54)</f>
        <v>56300.25</v>
      </c>
      <c r="D58" s="16">
        <f>AVERAGE(D50:D53)</f>
        <v>2.7019209749630981</v>
      </c>
      <c r="E58" s="16">
        <f>AVERAGE(E51:E53)</f>
        <v>1.251187158278708</v>
      </c>
      <c r="F58" s="16">
        <f t="shared" ref="F58" si="6">AVERAGE(F50:F53)</f>
        <v>3.3729966602177739</v>
      </c>
    </row>
    <row r="59" spans="2:8">
      <c r="B59" t="s">
        <v>17</v>
      </c>
      <c r="C59" s="15">
        <v>1</v>
      </c>
      <c r="D59" s="7">
        <f>STDEV(D50:D53)</f>
        <v>6.3043088551959239E-2</v>
      </c>
      <c r="E59" s="7">
        <f t="shared" ref="E59:F59" si="7">STDEV(E50:E53)</f>
        <v>1.3127767949814817E-2</v>
      </c>
      <c r="F59" s="7">
        <f t="shared" si="7"/>
        <v>3.835294082969283E-2</v>
      </c>
      <c r="G59" t="s">
        <v>50</v>
      </c>
    </row>
    <row r="60" spans="2:8">
      <c r="C60">
        <f>C58/C59</f>
        <v>56300.25</v>
      </c>
      <c r="G60" s="1"/>
    </row>
    <row r="61" spans="2:8">
      <c r="D61" s="33" t="s">
        <v>21</v>
      </c>
      <c r="E61" s="33" t="s">
        <v>22</v>
      </c>
      <c r="F61" s="33" t="s">
        <v>49</v>
      </c>
      <c r="G61" s="33" t="s">
        <v>60</v>
      </c>
      <c r="H61" s="33" t="s">
        <v>57</v>
      </c>
    </row>
    <row r="62" spans="2:8">
      <c r="C62" s="28" t="s">
        <v>59</v>
      </c>
      <c r="D62" s="20">
        <v>1.58</v>
      </c>
      <c r="E62" s="20">
        <v>3.77</v>
      </c>
      <c r="F62" s="20">
        <v>4.57</v>
      </c>
      <c r="G62" s="32"/>
    </row>
    <row r="63" spans="2:8">
      <c r="C63" s="27" t="s">
        <v>58</v>
      </c>
      <c r="D63" s="25">
        <v>1.4</v>
      </c>
      <c r="E63" s="16">
        <f>D63*D58</f>
        <v>3.7826893649483373</v>
      </c>
      <c r="F63" s="16">
        <f>E63*E58</f>
        <v>4.7328523571808008</v>
      </c>
    </row>
    <row r="64" spans="2:8">
      <c r="D64" s="16">
        <f>D63-D62</f>
        <v>-0.18000000000000016</v>
      </c>
      <c r="E64" s="16">
        <f t="shared" ref="E64:F64" si="8">E63-E62</f>
        <v>1.2689364948337278E-2</v>
      </c>
      <c r="F64" s="16">
        <f t="shared" si="8"/>
        <v>0.16285235718080049</v>
      </c>
      <c r="H64" s="26">
        <f>SQRT(SUMSQ(D64:F64))</f>
        <v>0.24306770707384223</v>
      </c>
    </row>
    <row r="65" spans="4:7">
      <c r="D65" s="70">
        <f>D64/D63</f>
        <v>-0.1285714285714287</v>
      </c>
      <c r="E65" s="70">
        <f t="shared" ref="E65:G65" si="9">E64/E63</f>
        <v>3.3545881578120507E-3</v>
      </c>
      <c r="F65" s="70">
        <f t="shared" si="9"/>
        <v>3.4408924025216392E-2</v>
      </c>
      <c r="G65" s="70" t="e">
        <f t="shared" si="9"/>
        <v>#DIV/0!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5050-D5CF-459D-8C24-598D3F8AE6D4}">
  <dimension ref="A2:H65"/>
  <sheetViews>
    <sheetView workbookViewId="0">
      <pane ySplit="3" topLeftCell="A47" activePane="bottomLeft" state="frozen"/>
      <selection pane="bottomLeft" activeCell="D65" sqref="D65:G65"/>
    </sheetView>
  </sheetViews>
  <sheetFormatPr defaultRowHeight="14.5"/>
  <cols>
    <col min="4" max="4" width="14.90625" customWidth="1"/>
    <col min="5" max="6" width="9.36328125" bestFit="1" customWidth="1"/>
  </cols>
  <sheetData>
    <row r="2" spans="1:7">
      <c r="C2" s="1" t="s">
        <v>77</v>
      </c>
    </row>
    <row r="3" spans="1:7">
      <c r="C3" s="3" t="s">
        <v>78</v>
      </c>
      <c r="D3" s="4" t="s">
        <v>79</v>
      </c>
    </row>
    <row r="4" spans="1:7">
      <c r="A4" s="11" t="s">
        <v>13</v>
      </c>
      <c r="B4" s="11"/>
      <c r="C4" s="13">
        <v>1626</v>
      </c>
      <c r="D4" s="14">
        <f>C4/C$6</f>
        <v>24.636363636363637</v>
      </c>
    </row>
    <row r="5" spans="1:7">
      <c r="A5" s="11" t="s">
        <v>14</v>
      </c>
      <c r="B5" s="11"/>
      <c r="C5" s="13">
        <v>240</v>
      </c>
      <c r="D5" s="14">
        <f>C5/C$6</f>
        <v>3.6363636363636362</v>
      </c>
    </row>
    <row r="6" spans="1:7">
      <c r="A6" t="s">
        <v>15</v>
      </c>
      <c r="C6" s="8">
        <v>66</v>
      </c>
      <c r="D6" s="9">
        <f>C6/C$6</f>
        <v>1</v>
      </c>
    </row>
    <row r="7" spans="1:7">
      <c r="A7" t="s">
        <v>16</v>
      </c>
      <c r="C7" s="8">
        <v>217</v>
      </c>
      <c r="D7" s="9">
        <f>C7/C$6</f>
        <v>3.2878787878787881</v>
      </c>
      <c r="E7" s="7" t="e">
        <f>AVERAGE(#REF!,D7,#REF!,#REF!,#REF!)</f>
        <v>#REF!</v>
      </c>
      <c r="F7" t="e">
        <f>STDEV(#REF!,D7,#REF!,#REF!,#REF!)</f>
        <v>#REF!</v>
      </c>
      <c r="G7" t="e">
        <f>1.96*F7/SQRT(5)</f>
        <v>#REF!</v>
      </c>
    </row>
    <row r="10" spans="1:7">
      <c r="B10" s="1" t="s">
        <v>45</v>
      </c>
    </row>
    <row r="11" spans="1:7">
      <c r="B11">
        <v>6</v>
      </c>
    </row>
    <row r="12" spans="1:7">
      <c r="B12">
        <v>8</v>
      </c>
    </row>
    <row r="13" spans="1:7">
      <c r="B13">
        <v>10</v>
      </c>
      <c r="C13" s="15">
        <v>1578000</v>
      </c>
    </row>
    <row r="14" spans="1:7">
      <c r="B14">
        <v>12</v>
      </c>
      <c r="C14" s="15">
        <v>1595000</v>
      </c>
    </row>
    <row r="15" spans="1:7">
      <c r="B15">
        <v>14</v>
      </c>
      <c r="C15" s="15">
        <v>1607000</v>
      </c>
    </row>
    <row r="16" spans="1:7">
      <c r="B16">
        <v>16</v>
      </c>
      <c r="C16" s="15">
        <v>1612000</v>
      </c>
    </row>
    <row r="17" spans="2:3">
      <c r="B17">
        <v>18</v>
      </c>
      <c r="C17" s="15">
        <v>1610000</v>
      </c>
    </row>
    <row r="18" spans="2:3">
      <c r="B18">
        <v>20</v>
      </c>
      <c r="C18" s="15">
        <v>1612000</v>
      </c>
    </row>
    <row r="19" spans="2:3">
      <c r="B19" t="s">
        <v>18</v>
      </c>
      <c r="C19">
        <f>AVERAGE(C11:C18)</f>
        <v>1602333.3333333333</v>
      </c>
    </row>
    <row r="20" spans="2:3">
      <c r="B20" t="s">
        <v>17</v>
      </c>
      <c r="C20">
        <v>11610</v>
      </c>
    </row>
    <row r="21" spans="2:3">
      <c r="C21">
        <f>C19/C20</f>
        <v>138.01320700545506</v>
      </c>
    </row>
    <row r="23" spans="2:3">
      <c r="B23" s="1" t="s">
        <v>21</v>
      </c>
    </row>
    <row r="24" spans="2:3">
      <c r="B24">
        <v>6</v>
      </c>
      <c r="C24" s="15"/>
    </row>
    <row r="25" spans="2:3">
      <c r="B25">
        <v>8</v>
      </c>
      <c r="C25" s="15"/>
    </row>
    <row r="26" spans="2:3">
      <c r="B26">
        <v>10</v>
      </c>
      <c r="C26" s="15"/>
    </row>
    <row r="27" spans="2:3">
      <c r="B27">
        <v>12</v>
      </c>
      <c r="C27" s="15"/>
    </row>
    <row r="28" spans="2:3">
      <c r="B28">
        <v>14</v>
      </c>
      <c r="C28" s="15"/>
    </row>
    <row r="29" spans="2:3">
      <c r="B29">
        <v>16</v>
      </c>
      <c r="C29" s="15"/>
    </row>
    <row r="30" spans="2:3">
      <c r="B30">
        <v>18</v>
      </c>
      <c r="C30" s="15"/>
    </row>
    <row r="31" spans="2:3">
      <c r="B31">
        <v>20</v>
      </c>
      <c r="C31" s="15"/>
    </row>
    <row r="32" spans="2:3">
      <c r="B32" t="s">
        <v>18</v>
      </c>
      <c r="C32" t="e">
        <f>AVERAGE(C24:C30)</f>
        <v>#DIV/0!</v>
      </c>
    </row>
    <row r="33" spans="2:6">
      <c r="B33" t="s">
        <v>17</v>
      </c>
      <c r="C33">
        <v>3162</v>
      </c>
    </row>
    <row r="34" spans="2:6">
      <c r="C34" t="e">
        <f>C32/C33</f>
        <v>#DIV/0!</v>
      </c>
    </row>
    <row r="36" spans="2:6">
      <c r="B36" s="1" t="s">
        <v>22</v>
      </c>
    </row>
    <row r="37" spans="2:6">
      <c r="B37">
        <v>6</v>
      </c>
      <c r="D37" s="16"/>
      <c r="E37" s="16"/>
      <c r="F37" s="16"/>
    </row>
    <row r="38" spans="2:6">
      <c r="B38">
        <v>8</v>
      </c>
      <c r="C38" s="15"/>
      <c r="D38" s="16"/>
      <c r="E38" s="16"/>
      <c r="F38" s="16"/>
    </row>
    <row r="39" spans="2:6">
      <c r="B39">
        <v>10</v>
      </c>
      <c r="C39" s="15">
        <v>894706</v>
      </c>
      <c r="D39" s="16"/>
      <c r="E39" s="16"/>
      <c r="F39" s="16"/>
    </row>
    <row r="40" spans="2:6">
      <c r="B40">
        <v>12</v>
      </c>
      <c r="C40" s="15">
        <v>900271</v>
      </c>
      <c r="D40" s="16"/>
      <c r="E40" s="16"/>
      <c r="F40" s="16"/>
    </row>
    <row r="41" spans="2:6">
      <c r="B41">
        <v>14</v>
      </c>
      <c r="C41" s="15">
        <v>905414</v>
      </c>
      <c r="D41" s="16"/>
      <c r="E41" s="16"/>
      <c r="F41" s="16"/>
    </row>
    <row r="42" spans="2:6">
      <c r="B42">
        <v>16</v>
      </c>
      <c r="C42" s="15">
        <v>909873</v>
      </c>
      <c r="D42" s="16"/>
      <c r="E42" s="16"/>
      <c r="F42" s="16"/>
    </row>
    <row r="43" spans="2:6">
      <c r="B43">
        <v>18</v>
      </c>
      <c r="C43" s="15">
        <v>913830</v>
      </c>
      <c r="D43" s="16"/>
      <c r="E43" s="16"/>
      <c r="F43" s="16"/>
    </row>
    <row r="44" spans="2:6">
      <c r="B44">
        <v>20</v>
      </c>
      <c r="C44" s="15">
        <v>922660</v>
      </c>
      <c r="D44" s="16"/>
      <c r="E44" s="16"/>
      <c r="F44" s="16"/>
    </row>
    <row r="45" spans="2:6">
      <c r="B45" t="s">
        <v>18</v>
      </c>
      <c r="C45">
        <f>AVERAGE(C37:C44)</f>
        <v>907792.33333333337</v>
      </c>
      <c r="D45" s="16"/>
      <c r="E45" s="16"/>
      <c r="F45" s="16"/>
    </row>
    <row r="46" spans="2:6">
      <c r="B46" t="s">
        <v>17</v>
      </c>
      <c r="C46" s="15">
        <v>7680</v>
      </c>
      <c r="D46" s="7"/>
      <c r="E46" s="7"/>
      <c r="F46" s="7"/>
    </row>
    <row r="47" spans="2:6">
      <c r="C47">
        <f>C45/C46</f>
        <v>118.20212673611111</v>
      </c>
    </row>
    <row r="49" spans="2:8">
      <c r="B49" s="1" t="s">
        <v>60</v>
      </c>
      <c r="D49" t="s">
        <v>46</v>
      </c>
      <c r="E49" t="s">
        <v>47</v>
      </c>
      <c r="F49" t="s">
        <v>48</v>
      </c>
      <c r="G49" t="s">
        <v>61</v>
      </c>
    </row>
    <row r="50" spans="2:8">
      <c r="B50">
        <v>6</v>
      </c>
      <c r="D50" s="16"/>
      <c r="E50" s="16"/>
      <c r="F50" s="16"/>
    </row>
    <row r="51" spans="2:8">
      <c r="B51">
        <v>8</v>
      </c>
      <c r="C51" s="15"/>
      <c r="D51" s="16"/>
      <c r="E51" s="16"/>
      <c r="F51" s="16"/>
      <c r="G51" s="15"/>
    </row>
    <row r="52" spans="2:8">
      <c r="B52">
        <v>10</v>
      </c>
      <c r="C52" s="15">
        <v>1472000</v>
      </c>
      <c r="D52" s="16"/>
      <c r="E52" s="16">
        <f t="shared" ref="E52:E57" si="0">1/(C39/C13*$C$20/$C$46)</f>
        <v>1.1666904673046901</v>
      </c>
      <c r="F52" s="16"/>
      <c r="G52" s="16">
        <f>C52/C39*(C$46/C$59)</f>
        <v>7.0196615797070026</v>
      </c>
    </row>
    <row r="53" spans="2:8">
      <c r="B53">
        <v>12</v>
      </c>
      <c r="C53" s="15">
        <v>1484000</v>
      </c>
      <c r="D53" s="16"/>
      <c r="E53" s="16">
        <f t="shared" si="0"/>
        <v>1.1719698171733688</v>
      </c>
      <c r="F53" s="16"/>
      <c r="G53" s="16">
        <f>C53/C40*(C$46/C$59)</f>
        <v>7.0331415022069281</v>
      </c>
    </row>
    <row r="54" spans="2:8">
      <c r="B54">
        <v>14</v>
      </c>
      <c r="C54" s="15">
        <v>1493000</v>
      </c>
      <c r="D54" s="16"/>
      <c r="E54" s="16">
        <f t="shared" si="0"/>
        <v>1.1740799499152983</v>
      </c>
      <c r="F54" s="16"/>
      <c r="G54" s="16">
        <f t="shared" ref="G54:G57" si="1">C54/C41*(C$46/C$59)</f>
        <v>7.0356028660185652</v>
      </c>
    </row>
    <row r="55" spans="2:8">
      <c r="B55">
        <v>16</v>
      </c>
      <c r="C55" s="15">
        <v>1499000</v>
      </c>
      <c r="D55" s="16"/>
      <c r="E55" s="16">
        <f t="shared" si="0"/>
        <v>1.1719612707626907</v>
      </c>
      <c r="F55" s="16"/>
      <c r="G55" s="16">
        <f t="shared" si="1"/>
        <v>7.0292593948093121</v>
      </c>
    </row>
    <row r="56" spans="2:8">
      <c r="B56">
        <v>18</v>
      </c>
      <c r="C56" s="15">
        <v>1504000</v>
      </c>
      <c r="D56" s="16"/>
      <c r="E56" s="16">
        <f t="shared" si="0"/>
        <v>1.1654387795286223</v>
      </c>
      <c r="F56" s="16"/>
      <c r="G56" s="16">
        <f t="shared" si="1"/>
        <v>7.0221667779200363</v>
      </c>
    </row>
    <row r="57" spans="2:8">
      <c r="B57">
        <v>20</v>
      </c>
      <c r="C57" s="15">
        <v>1509000</v>
      </c>
      <c r="D57" s="16"/>
      <c r="E57" s="16">
        <f t="shared" si="0"/>
        <v>1.1557192436137489</v>
      </c>
      <c r="F57" s="16"/>
      <c r="G57" s="16">
        <f t="shared" si="1"/>
        <v>6.978085101770966</v>
      </c>
    </row>
    <row r="58" spans="2:8">
      <c r="B58" t="s">
        <v>18</v>
      </c>
      <c r="C58">
        <f>AVERAGE(C50:C57)</f>
        <v>1493500</v>
      </c>
      <c r="D58" s="16"/>
      <c r="E58" s="16">
        <f>AVERAGE(E51:E53)</f>
        <v>1.1693301422390294</v>
      </c>
      <c r="F58" s="16"/>
      <c r="G58" s="16">
        <f t="shared" ref="G58" si="2">AVERAGE(G53:G57)</f>
        <v>7.0196511285451608</v>
      </c>
    </row>
    <row r="59" spans="2:8">
      <c r="B59" t="s">
        <v>17</v>
      </c>
      <c r="C59" s="15">
        <v>1800</v>
      </c>
      <c r="D59" s="7"/>
      <c r="E59" s="7">
        <f t="shared" ref="E59" si="3">STDEV(E50:E53)</f>
        <v>3.7330640923990384E-3</v>
      </c>
      <c r="F59" s="7"/>
      <c r="G59" s="7">
        <f t="shared" ref="G59" si="4">STDEV(G53:G58)</f>
        <v>2.1273598492628089E-2</v>
      </c>
      <c r="H59" t="s">
        <v>50</v>
      </c>
    </row>
    <row r="60" spans="2:8">
      <c r="C60">
        <f>C58/C59</f>
        <v>829.72222222222217</v>
      </c>
      <c r="G60" s="1"/>
    </row>
    <row r="61" spans="2:8">
      <c r="D61" s="33" t="s">
        <v>21</v>
      </c>
      <c r="E61" s="33" t="s">
        <v>22</v>
      </c>
      <c r="F61" s="33" t="s">
        <v>49</v>
      </c>
      <c r="G61" s="33" t="s">
        <v>60</v>
      </c>
      <c r="H61" s="33" t="s">
        <v>57</v>
      </c>
    </row>
    <row r="62" spans="2:8">
      <c r="C62" s="28" t="s">
        <v>59</v>
      </c>
      <c r="D62" s="20">
        <v>1.58</v>
      </c>
      <c r="E62" s="20">
        <v>3.77</v>
      </c>
      <c r="F62" s="20">
        <v>4.57</v>
      </c>
      <c r="G62" s="32">
        <v>18.399999999999999</v>
      </c>
    </row>
    <row r="63" spans="2:8">
      <c r="C63" s="27" t="s">
        <v>58</v>
      </c>
      <c r="D63" s="25"/>
      <c r="E63" s="25">
        <v>3.77</v>
      </c>
      <c r="F63" s="16">
        <f>E63*E58</f>
        <v>4.4083746362411409</v>
      </c>
      <c r="G63" s="16">
        <f>E63*G58</f>
        <v>26.464084754615257</v>
      </c>
    </row>
    <row r="64" spans="2:8">
      <c r="D64" s="16"/>
      <c r="E64" s="16">
        <f t="shared" ref="E64:G64" si="5">E63-E62</f>
        <v>0</v>
      </c>
      <c r="F64" s="16">
        <f t="shared" si="5"/>
        <v>-0.16162536375885939</v>
      </c>
      <c r="G64" s="16">
        <f t="shared" si="5"/>
        <v>8.0640847546152585</v>
      </c>
      <c r="H64" s="26">
        <f>SQRT(SUMSQ(D64:G64))</f>
        <v>8.0657042896345015</v>
      </c>
    </row>
    <row r="65" spans="4:7">
      <c r="D65" s="70" t="e">
        <f>D64/D63</f>
        <v>#DIV/0!</v>
      </c>
      <c r="E65" s="70">
        <f t="shared" ref="E65:G65" si="6">E64/E63</f>
        <v>0</v>
      </c>
      <c r="F65" s="70">
        <f t="shared" si="6"/>
        <v>-3.6663255075950488E-2</v>
      </c>
      <c r="G65" s="70">
        <f t="shared" si="6"/>
        <v>0.30471806712336447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Star List</vt:lpstr>
      <vt:lpstr>Observations List</vt:lpstr>
      <vt:lpstr>Roll-Up</vt:lpstr>
      <vt:lpstr>BRUN 862</vt:lpstr>
      <vt:lpstr>V2149 Ori</vt:lpstr>
      <vt:lpstr>HD 36981</vt:lpstr>
      <vt:lpstr>HD 36939</vt:lpstr>
      <vt:lpstr>Theta 2 Ori B</vt:lpstr>
      <vt:lpstr>TYC 2293-637-1</vt:lpstr>
      <vt:lpstr>TYC 2293-1266-1</vt:lpstr>
      <vt:lpstr>Sheet1 (4)</vt:lpstr>
      <vt:lpstr>BRUN 862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2018-04-27T18:50:36Z</dcterms:created>
  <dcterms:modified xsi:type="dcterms:W3CDTF">2018-05-24T13:21:49Z</dcterms:modified>
</cp:coreProperties>
</file>