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stronomy\Projects\SAS 2021 Ammonia\Jupiter_NH3_Analysis\"/>
    </mc:Choice>
  </mc:AlternateContent>
  <xr:revisionPtr revIDLastSave="0" documentId="13_ncr:40009_{27907A26-8D8C-4CC6-834E-AF57CBB67B73}" xr6:coauthVersionLast="46" xr6:coauthVersionMax="46" xr10:uidLastSave="{00000000-0000-0000-0000-000000000000}"/>
  <bookViews>
    <workbookView xWindow="1680" yWindow="0" windowWidth="17520" windowHeight="10800"/>
  </bookViews>
  <sheets>
    <sheet name="Transmission" sheetId="1" r:id="rId1"/>
  </sheets>
  <calcPr calcId="0"/>
</workbook>
</file>

<file path=xl/calcChain.xml><?xml version="1.0" encoding="utf-8"?>
<calcChain xmlns="http://schemas.openxmlformats.org/spreadsheetml/2006/main">
  <c r="R6" i="1" l="1"/>
  <c r="Q6" i="1"/>
  <c r="Q7" i="1"/>
  <c r="Q10" i="1" s="1"/>
  <c r="Q11" i="1" s="1"/>
  <c r="Q5" i="1"/>
  <c r="Q4" i="1"/>
  <c r="Q3" i="1"/>
  <c r="Q2" i="1"/>
  <c r="R5" i="1"/>
  <c r="R4" i="1"/>
  <c r="R3" i="1"/>
  <c r="R2" i="1"/>
  <c r="G27" i="1"/>
  <c r="G26" i="1"/>
  <c r="H26" i="1" s="1"/>
  <c r="P6" i="1"/>
  <c r="P5" i="1"/>
  <c r="P4" i="1"/>
  <c r="P3" i="1"/>
  <c r="P2" i="1"/>
  <c r="N11" i="1"/>
  <c r="O11" i="1" s="1"/>
  <c r="P11" i="1" s="1"/>
  <c r="M11" i="1"/>
  <c r="T11" i="1" s="1"/>
  <c r="U11" i="1" s="1"/>
  <c r="N10" i="1"/>
  <c r="O10" i="1" s="1"/>
  <c r="P10" i="1" s="1"/>
  <c r="M10" i="1"/>
  <c r="O7" i="1"/>
  <c r="P7" i="1" s="1"/>
  <c r="N7" i="1"/>
  <c r="M7" i="1"/>
  <c r="L14" i="1"/>
  <c r="K14" i="1"/>
  <c r="J14" i="1"/>
  <c r="I14" i="1"/>
  <c r="H14" i="1"/>
  <c r="G14" i="1"/>
  <c r="F14" i="1"/>
  <c r="E14" i="1"/>
  <c r="D14" i="1"/>
  <c r="C14" i="1"/>
  <c r="M14" i="1" s="1"/>
  <c r="B14" i="1"/>
  <c r="L13" i="1"/>
  <c r="K13" i="1"/>
  <c r="J13" i="1"/>
  <c r="I13" i="1"/>
  <c r="H13" i="1"/>
  <c r="G13" i="1"/>
  <c r="F13" i="1"/>
  <c r="E13" i="1"/>
  <c r="D13" i="1"/>
  <c r="C13" i="1"/>
  <c r="B13" i="1"/>
  <c r="M13" i="1" s="1"/>
</calcChain>
</file>

<file path=xl/sharedStrings.xml><?xml version="1.0" encoding="utf-8"?>
<sst xmlns="http://schemas.openxmlformats.org/spreadsheetml/2006/main" count="31" uniqueCount="31">
  <si>
    <t>Names</t>
  </si>
  <si>
    <t>20200902UT</t>
  </si>
  <si>
    <t>20200903UT</t>
  </si>
  <si>
    <t>20200904UT</t>
  </si>
  <si>
    <t>20200913UT</t>
  </si>
  <si>
    <t>20200914UT</t>
  </si>
  <si>
    <t>20200915UT</t>
  </si>
  <si>
    <t>20200924UT</t>
  </si>
  <si>
    <t>20200925UT</t>
  </si>
  <si>
    <t>20201007UT</t>
  </si>
  <si>
    <t>20201008UT</t>
  </si>
  <si>
    <t>20201009UT</t>
  </si>
  <si>
    <t>Mean Ratio</t>
  </si>
  <si>
    <t>StdP Ratio</t>
  </si>
  <si>
    <t>Conf 95%</t>
  </si>
  <si>
    <t>0_Jupiter</t>
  </si>
  <si>
    <t>1_Io</t>
  </si>
  <si>
    <t>2_Europa</t>
  </si>
  <si>
    <t>3_Ganymede</t>
  </si>
  <si>
    <t>4_Callisto</t>
  </si>
  <si>
    <t>Moons Ratio</t>
  </si>
  <si>
    <t>Moons StdP</t>
  </si>
  <si>
    <t>95% Conf</t>
  </si>
  <si>
    <t>Trans647</t>
  </si>
  <si>
    <t>NH3 Abs</t>
  </si>
  <si>
    <t>Trans Conf</t>
  </si>
  <si>
    <t>Predicted</t>
  </si>
  <si>
    <t>O-P</t>
  </si>
  <si>
    <t>(O-P)/P</t>
  </si>
  <si>
    <t>More Io visible to 647 filter due to blurring and maybe later time</t>
  </si>
  <si>
    <t>Io on the disk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</si>
</sst>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0" fontId="18" fillId="0" borderId="0" xfId="1" applyNumberFormat="1" applyFont="1"/>
    <xf numFmtId="9" fontId="18" fillId="0" borderId="0" xfId="1" applyFont="1"/>
    <xf numFmtId="164" fontId="18" fillId="0" borderId="0" xfId="0" applyNumberFormat="1" applyFont="1"/>
    <xf numFmtId="10" fontId="0" fillId="0" borderId="0" xfId="0" applyNumberFormat="1"/>
    <xf numFmtId="10" fontId="19" fillId="0" borderId="0" xfId="1" applyNumberFormat="1" applyFont="1"/>
    <xf numFmtId="0" fontId="18" fillId="0" borderId="0" xfId="0" applyFont="1"/>
    <xf numFmtId="9" fontId="19" fillId="0" borderId="0" xfId="1" applyFont="1"/>
    <xf numFmtId="11" fontId="0" fillId="0" borderId="0" xfId="0" applyNumberFormat="1"/>
    <xf numFmtId="165" fontId="0" fillId="0" borderId="0" xfId="0" applyNumberFormat="1"/>
    <xf numFmtId="165" fontId="14" fillId="0" borderId="0" xfId="0" applyNumberFormat="1" applyFont="1"/>
    <xf numFmtId="165" fontId="18" fillId="0" borderId="0" xfId="0" applyNumberFormat="1" applyFont="1"/>
    <xf numFmtId="165" fontId="16" fillId="0" borderId="0" xfId="0" applyNumberFormat="1" applyFont="1"/>
    <xf numFmtId="165" fontId="20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abSelected="1" workbookViewId="0">
      <selection activeCell="H11" sqref="B11:H11"/>
    </sheetView>
  </sheetViews>
  <sheetFormatPr defaultRowHeight="14.5" x14ac:dyDescent="0.35"/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21" x14ac:dyDescent="0.35">
      <c r="A2" t="s">
        <v>15</v>
      </c>
      <c r="B2" s="9">
        <v>1.31053592471522</v>
      </c>
      <c r="C2" s="9">
        <v>1.3180147898819501</v>
      </c>
      <c r="D2" s="9">
        <v>1.3255149864261599</v>
      </c>
      <c r="E2" s="9">
        <v>1.3294236804447499</v>
      </c>
      <c r="F2" s="9">
        <v>1.3193608403941499</v>
      </c>
      <c r="G2" s="9">
        <v>1.3021362386437201</v>
      </c>
      <c r="H2" s="10">
        <v>1.2633638234167901</v>
      </c>
      <c r="I2" s="9">
        <v>1.32281728848747</v>
      </c>
      <c r="J2" s="9">
        <v>1.31322809803021</v>
      </c>
      <c r="K2" s="10">
        <v>1.3592245152836699</v>
      </c>
      <c r="L2" s="9">
        <v>1.2936623929168301</v>
      </c>
      <c r="M2" s="9">
        <v>1.3142984162400799</v>
      </c>
      <c r="N2" s="9">
        <v>2.2700318153769099E-2</v>
      </c>
      <c r="O2" s="9">
        <v>6.8444034488859499E-3</v>
      </c>
      <c r="P2" s="1">
        <f>O2/M2</f>
        <v>5.2076479468538732E-3</v>
      </c>
      <c r="Q2" s="9">
        <f>AVERAGE(B2:G2,I2:J2,L2)</f>
        <v>1.3149660266600511</v>
      </c>
      <c r="R2">
        <f>_xlfn.STDEV.P(B2:G2,I2:J2,L2)</f>
        <v>1.080972007398808E-2</v>
      </c>
    </row>
    <row r="3" spans="1:21" x14ac:dyDescent="0.35">
      <c r="A3" t="s">
        <v>16</v>
      </c>
      <c r="B3" s="10">
        <v>1.39026602776317</v>
      </c>
      <c r="C3" s="9">
        <v>1.32455698354406</v>
      </c>
      <c r="D3" s="9">
        <v>1.3437713149717201</v>
      </c>
      <c r="E3" s="9">
        <v>1.37939673924573</v>
      </c>
      <c r="F3" s="9">
        <v>1.33124791614855</v>
      </c>
      <c r="G3" s="9"/>
      <c r="H3" s="9">
        <v>1.3401078624894101</v>
      </c>
      <c r="I3" s="13">
        <v>1.2911119934713799</v>
      </c>
      <c r="J3" s="10">
        <v>1.2666909767244401</v>
      </c>
      <c r="K3" s="9"/>
      <c r="L3" s="9"/>
      <c r="M3" s="9">
        <v>1.3333937267948099</v>
      </c>
      <c r="N3" s="9">
        <v>3.8443471651379603E-2</v>
      </c>
      <c r="O3" s="9">
        <v>1.1591142827844601E-2</v>
      </c>
      <c r="P3" s="1">
        <f t="shared" ref="P3:P7" si="0">O3/M3</f>
        <v>8.6929633722720445E-3</v>
      </c>
      <c r="Q3" s="9">
        <f>AVERAGE(C3:I3)</f>
        <v>1.3350321349784753</v>
      </c>
      <c r="R3">
        <f>_xlfn.STDEV.P(C3:I3)</f>
        <v>2.6215079401747894E-2</v>
      </c>
    </row>
    <row r="4" spans="1:21" x14ac:dyDescent="0.35">
      <c r="A4" t="s">
        <v>17</v>
      </c>
      <c r="B4" s="9">
        <v>1.35525957153332</v>
      </c>
      <c r="C4" s="9"/>
      <c r="D4" s="9">
        <v>1.3838685315935699</v>
      </c>
      <c r="E4" s="9">
        <v>1.3591177192686601</v>
      </c>
      <c r="F4" s="9">
        <v>1.3245390271084101</v>
      </c>
      <c r="G4" s="9">
        <v>1.3460474924090999</v>
      </c>
      <c r="H4" s="9">
        <v>1.3670627471057</v>
      </c>
      <c r="I4" s="9">
        <v>1.3645079696737501</v>
      </c>
      <c r="J4" s="10">
        <v>1.30014614861981</v>
      </c>
      <c r="K4" s="9">
        <v>1.3959268086449499</v>
      </c>
      <c r="L4" s="10">
        <v>1.31818328751261</v>
      </c>
      <c r="M4" s="9">
        <v>1.35146593034699</v>
      </c>
      <c r="N4" s="9">
        <v>2.8299942110897099E-2</v>
      </c>
      <c r="O4" s="9">
        <v>8.5327535973294798E-3</v>
      </c>
      <c r="P4" s="1">
        <f t="shared" si="0"/>
        <v>6.3137023329464829E-3</v>
      </c>
      <c r="Q4" s="9">
        <f>AVERAGE(B4:I4,K4)</f>
        <v>1.3620412334171825</v>
      </c>
      <c r="R4">
        <f>_xlfn.STDEV.P(B4:I4)</f>
        <v>1.7156636628689013E-2</v>
      </c>
    </row>
    <row r="5" spans="1:21" x14ac:dyDescent="0.35">
      <c r="A5" t="s">
        <v>18</v>
      </c>
      <c r="B5" s="9"/>
      <c r="C5" s="9">
        <v>1.3869868886030301</v>
      </c>
      <c r="D5" s="9">
        <v>1.3869598871814099</v>
      </c>
      <c r="E5" s="9">
        <v>1.3761891095215999</v>
      </c>
      <c r="F5" s="9">
        <v>1.3309374819703499</v>
      </c>
      <c r="G5" s="9">
        <v>1.3822709814534</v>
      </c>
      <c r="H5" s="10">
        <v>1.2795650561368701</v>
      </c>
      <c r="I5" s="9">
        <v>1.32844339214369</v>
      </c>
      <c r="J5" s="9">
        <v>1.3387921076490901</v>
      </c>
      <c r="K5" s="9">
        <v>1.3628846375641901</v>
      </c>
      <c r="L5" s="10">
        <v>1.2987532518972</v>
      </c>
      <c r="M5" s="9">
        <v>1.3471782794120799</v>
      </c>
      <c r="N5" s="9">
        <v>3.6178358171505803E-2</v>
      </c>
      <c r="O5" s="9">
        <v>1.09081854169066E-2</v>
      </c>
      <c r="P5" s="1">
        <f t="shared" si="0"/>
        <v>8.0970615274965872E-3</v>
      </c>
      <c r="Q5" s="9">
        <f>AVERAGE(C5:G5,I5:K5)</f>
        <v>1.361683060760845</v>
      </c>
      <c r="R5">
        <f>_xlfn.STDEV.P(C5:G5,I5:K5)</f>
        <v>2.3688328593883437E-2</v>
      </c>
    </row>
    <row r="6" spans="1:21" x14ac:dyDescent="0.35">
      <c r="A6" t="s">
        <v>19</v>
      </c>
      <c r="B6" s="9"/>
      <c r="C6" s="9"/>
      <c r="D6" s="9">
        <v>1.3550637838864401</v>
      </c>
      <c r="E6" s="9">
        <v>1.37034046772109</v>
      </c>
      <c r="F6" s="10">
        <v>1.4169305237196099</v>
      </c>
      <c r="G6" s="9">
        <v>1.3153442636025801</v>
      </c>
      <c r="H6" s="9">
        <v>1.33103154263489</v>
      </c>
      <c r="I6" s="9">
        <v>1.3704551496782</v>
      </c>
      <c r="J6" s="9">
        <v>1.31821137191802</v>
      </c>
      <c r="K6" s="9">
        <v>1.3596883934483199</v>
      </c>
      <c r="L6" s="9"/>
      <c r="M6" s="9">
        <v>1.3546331870761401</v>
      </c>
      <c r="N6" s="9">
        <v>3.1286893404512801E-2</v>
      </c>
      <c r="O6" s="9">
        <v>9.4333532980558198E-3</v>
      </c>
      <c r="P6" s="1">
        <f t="shared" si="0"/>
        <v>6.9637695193463453E-3</v>
      </c>
      <c r="Q6" s="9">
        <f>AVERAGE(D6:E6,G6:K6)</f>
        <v>1.3457335675556485</v>
      </c>
      <c r="R6">
        <f>_xlfn.STDEV.P(D6:E6,G6:K6)</f>
        <v>2.2024586408008053E-2</v>
      </c>
    </row>
    <row r="7" spans="1:21" x14ac:dyDescent="0.35">
      <c r="A7" t="s">
        <v>20</v>
      </c>
      <c r="B7" s="9">
        <v>1.3727627996482401</v>
      </c>
      <c r="C7" s="9">
        <v>1.3557719360735401</v>
      </c>
      <c r="D7" s="9">
        <v>1.36741587940828</v>
      </c>
      <c r="E7" s="9">
        <v>1.3712610089392701</v>
      </c>
      <c r="F7" s="9">
        <v>1.3509137372367299</v>
      </c>
      <c r="G7" s="9">
        <v>1.34788757915502</v>
      </c>
      <c r="H7" s="9">
        <v>1.32944180209172</v>
      </c>
      <c r="I7" s="9">
        <v>1.3386296262417501</v>
      </c>
      <c r="J7" s="9">
        <v>1.30596015122784</v>
      </c>
      <c r="K7" s="9">
        <v>1.37283327988582</v>
      </c>
      <c r="L7" s="9">
        <v>1.3084682697048999</v>
      </c>
      <c r="M7" s="9">
        <f>AVERAGE(B7:L7)</f>
        <v>1.3473950972375552</v>
      </c>
      <c r="N7" s="9">
        <f>_xlfn.STDEV.P(B7:L7)</f>
        <v>2.3306527875739742E-2</v>
      </c>
      <c r="O7" s="11">
        <f>N7/SQRT(COUNT(B7:L7))*1.96</f>
        <v>1.3773277812216701E-2</v>
      </c>
      <c r="P7" s="1">
        <f t="shared" si="0"/>
        <v>1.022215224061215E-2</v>
      </c>
      <c r="Q7" s="9">
        <f>AVERAGE(Q3:Q6)</f>
        <v>1.351122499178038</v>
      </c>
    </row>
    <row r="8" spans="1:21" x14ac:dyDescent="0.35">
      <c r="A8" t="s">
        <v>21</v>
      </c>
      <c r="B8" s="9">
        <v>1.7503228114928601E-2</v>
      </c>
      <c r="C8" s="9">
        <v>3.1214952529482799E-2</v>
      </c>
      <c r="D8" s="9">
        <v>1.8468200338295201E-2</v>
      </c>
      <c r="E8" s="9">
        <v>7.7263051183526299E-3</v>
      </c>
      <c r="F8" s="9">
        <v>3.82087579143153E-2</v>
      </c>
      <c r="G8" s="9">
        <v>2.7353681409698599E-2</v>
      </c>
      <c r="H8" s="9">
        <v>3.16990434011475E-2</v>
      </c>
      <c r="I8" s="9">
        <v>3.1797159424971001E-2</v>
      </c>
      <c r="J8" s="9">
        <v>2.6475934654660201E-2</v>
      </c>
      <c r="K8" s="9">
        <v>1.6381642103762101E-2</v>
      </c>
      <c r="L8" s="9">
        <v>9.7150178077086702E-3</v>
      </c>
      <c r="M8" s="9"/>
      <c r="N8" s="9"/>
      <c r="O8" s="9"/>
    </row>
    <row r="9" spans="1:21" x14ac:dyDescent="0.35">
      <c r="A9" t="s">
        <v>22</v>
      </c>
      <c r="B9" s="9">
        <v>1.2376651292720999E-2</v>
      </c>
      <c r="C9" s="9">
        <v>2.2072304608013401E-2</v>
      </c>
      <c r="D9" s="9">
        <v>9.2341001691476198E-3</v>
      </c>
      <c r="E9" s="9">
        <v>3.8631525591763102E-3</v>
      </c>
      <c r="F9" s="9">
        <v>1.9104378957157601E-2</v>
      </c>
      <c r="G9" s="9">
        <v>1.57926553252167E-2</v>
      </c>
      <c r="H9" s="9">
        <v>1.5849521700573702E-2</v>
      </c>
      <c r="I9" s="9">
        <v>1.5898579712485501E-2</v>
      </c>
      <c r="J9" s="9">
        <v>1.32379673273301E-2</v>
      </c>
      <c r="K9" s="9">
        <v>9.4579454783751699E-3</v>
      </c>
      <c r="L9" s="9">
        <v>6.8695549711788604E-3</v>
      </c>
      <c r="M9" s="9"/>
      <c r="N9" s="9"/>
      <c r="O9" s="9"/>
    </row>
    <row r="10" spans="1:21" x14ac:dyDescent="0.35">
      <c r="A10" t="s">
        <v>23</v>
      </c>
      <c r="B10" s="9">
        <v>0.95467033711215799</v>
      </c>
      <c r="C10" s="9">
        <v>0.97215081298928097</v>
      </c>
      <c r="D10" s="9">
        <v>0.969357608308413</v>
      </c>
      <c r="E10" s="9">
        <v>0.96948988688383597</v>
      </c>
      <c r="F10" s="9">
        <v>0.97664329263012395</v>
      </c>
      <c r="G10" s="9">
        <v>0.96605700562951402</v>
      </c>
      <c r="H10" s="9">
        <v>0.95029644880207598</v>
      </c>
      <c r="I10" s="9">
        <v>0.98818766786248202</v>
      </c>
      <c r="J10" s="9">
        <v>1.0055652132996</v>
      </c>
      <c r="K10" s="9">
        <v>0.99008709593397703</v>
      </c>
      <c r="L10" s="9">
        <v>0.98868457330538595</v>
      </c>
      <c r="M10" s="12">
        <f t="shared" ref="M10:M11" si="1">AVERAGE(B10:L10)</f>
        <v>0.97556272206880434</v>
      </c>
      <c r="N10" s="9">
        <f t="shared" ref="N10:N11" si="2">_xlfn.STDEV.P(B10:L10)</f>
        <v>1.5655686250327309E-2</v>
      </c>
      <c r="O10" s="11">
        <f t="shared" ref="O10:O11" si="3">N10/SQRT(COUNT(B10:L10))*1.96</f>
        <v>9.2519193427826347E-3</v>
      </c>
      <c r="P10" s="1">
        <f>O10/M10</f>
        <v>9.4836745331584298E-3</v>
      </c>
      <c r="Q10" s="12">
        <f>Q2/Q7</f>
        <v>0.97323967845995996</v>
      </c>
      <c r="S10" s="6" t="s">
        <v>26</v>
      </c>
      <c r="T10" s="6" t="s">
        <v>27</v>
      </c>
      <c r="U10" s="6" t="s">
        <v>28</v>
      </c>
    </row>
    <row r="11" spans="1:21" x14ac:dyDescent="0.35">
      <c r="A11" t="s">
        <v>24</v>
      </c>
      <c r="B11" s="9">
        <v>4.5329662887842001E-2</v>
      </c>
      <c r="C11" s="9">
        <v>2.7849187010718399E-2</v>
      </c>
      <c r="D11" s="9">
        <v>3.0642391691586199E-2</v>
      </c>
      <c r="E11" s="9">
        <v>3.0510113116163098E-2</v>
      </c>
      <c r="F11" s="9">
        <v>2.33567073698751E-2</v>
      </c>
      <c r="G11" s="9">
        <v>3.3942994370485403E-2</v>
      </c>
      <c r="H11" s="9">
        <v>4.9703551197923898E-2</v>
      </c>
      <c r="I11" s="10">
        <v>1.18123321375177E-2</v>
      </c>
      <c r="J11" s="10">
        <v>-5.5652132996077902E-3</v>
      </c>
      <c r="K11" s="10">
        <v>9.9129040660227395E-3</v>
      </c>
      <c r="L11" s="10">
        <v>1.1315426694614E-2</v>
      </c>
      <c r="M11" s="12">
        <f t="shared" si="1"/>
        <v>2.4437277931194611E-2</v>
      </c>
      <c r="N11" s="9">
        <f t="shared" si="2"/>
        <v>1.565568625032859E-2</v>
      </c>
      <c r="O11" s="11">
        <f t="shared" si="3"/>
        <v>9.251919342783391E-3</v>
      </c>
      <c r="P11" s="5">
        <f>O11/M11</f>
        <v>0.37859860532883471</v>
      </c>
      <c r="Q11" s="12">
        <f>1-Q10</f>
        <v>2.6760321540040044E-2</v>
      </c>
      <c r="S11" s="6">
        <v>3.8744399999999998E-2</v>
      </c>
      <c r="T11" s="3">
        <f>M11-S11</f>
        <v>-1.4307122068805387E-2</v>
      </c>
      <c r="U11" s="7">
        <f>T11/S11</f>
        <v>-0.36926941877549757</v>
      </c>
    </row>
    <row r="12" spans="1:21" x14ac:dyDescent="0.35">
      <c r="A12" t="s">
        <v>25</v>
      </c>
      <c r="B12" s="9">
        <v>9.0158702551470793E-3</v>
      </c>
      <c r="C12" s="9">
        <v>1.62802489273653E-2</v>
      </c>
      <c r="D12" s="9">
        <v>6.7529566594936802E-3</v>
      </c>
      <c r="E12" s="9">
        <v>2.81722628587289E-3</v>
      </c>
      <c r="F12" s="9">
        <v>1.4141820036736899E-2</v>
      </c>
      <c r="G12" s="9">
        <v>1.17165968211658E-2</v>
      </c>
      <c r="H12" s="9">
        <v>1.1921937218790901E-2</v>
      </c>
      <c r="I12" s="9">
        <v>1.1876757693702901E-2</v>
      </c>
      <c r="J12" s="9">
        <v>1.0136578298261201E-2</v>
      </c>
      <c r="K12" s="9">
        <v>6.8893620346687596E-3</v>
      </c>
      <c r="L12" s="9">
        <v>5.2500737925636597E-3</v>
      </c>
      <c r="M12" s="9"/>
      <c r="N12" s="9"/>
      <c r="O12" s="9"/>
    </row>
    <row r="13" spans="1:21" x14ac:dyDescent="0.35">
      <c r="B13" s="1">
        <f t="shared" ref="B13:L13" si="4">B12/B10</f>
        <v>9.44396186270933E-3</v>
      </c>
      <c r="C13" s="1">
        <f t="shared" si="4"/>
        <v>1.6746628928185455E-2</v>
      </c>
      <c r="D13" s="1">
        <f t="shared" si="4"/>
        <v>6.9664245698530117E-3</v>
      </c>
      <c r="E13" s="1">
        <f t="shared" si="4"/>
        <v>2.9058851711471741E-3</v>
      </c>
      <c r="F13" s="1">
        <f t="shared" si="4"/>
        <v>1.4480025761148306E-2</v>
      </c>
      <c r="G13" s="1">
        <f t="shared" si="4"/>
        <v>1.2128266502793887E-2</v>
      </c>
      <c r="H13" s="1">
        <f t="shared" si="4"/>
        <v>1.2545492760516414E-2</v>
      </c>
      <c r="I13" s="1">
        <f t="shared" si="4"/>
        <v>1.2018726887568984E-2</v>
      </c>
      <c r="J13" s="1">
        <f t="shared" si="4"/>
        <v>1.0080478286435202E-2</v>
      </c>
      <c r="K13" s="1">
        <f t="shared" si="4"/>
        <v>6.9583393854556102E-3</v>
      </c>
      <c r="L13" s="1">
        <f t="shared" si="4"/>
        <v>5.3101605247177367E-3</v>
      </c>
      <c r="M13" s="4">
        <f>AVERAGE(B13:L13)</f>
        <v>9.9622173309573733E-3</v>
      </c>
    </row>
    <row r="14" spans="1:21" x14ac:dyDescent="0.35">
      <c r="B14" s="2">
        <f t="shared" ref="B14:L14" si="5">B12/B11</f>
        <v>0.19889559464527259</v>
      </c>
      <c r="C14" s="2">
        <f t="shared" si="5"/>
        <v>0.58458614684512955</v>
      </c>
      <c r="D14" s="2">
        <f t="shared" si="5"/>
        <v>0.2203795554688347</v>
      </c>
      <c r="E14" s="2">
        <f t="shared" si="5"/>
        <v>9.2337457915894469E-2</v>
      </c>
      <c r="F14" s="2">
        <f t="shared" si="5"/>
        <v>0.60547147390203926</v>
      </c>
      <c r="G14" s="2">
        <f t="shared" si="5"/>
        <v>0.34518453773641672</v>
      </c>
      <c r="H14" s="2">
        <f t="shared" si="5"/>
        <v>0.23986087374957782</v>
      </c>
      <c r="I14" s="2">
        <f t="shared" si="5"/>
        <v>1.0054540928442552</v>
      </c>
      <c r="J14" s="2">
        <f t="shared" si="5"/>
        <v>-1.8214177521238186</v>
      </c>
      <c r="K14" s="2">
        <f t="shared" si="5"/>
        <v>0.69498927748958972</v>
      </c>
      <c r="L14" s="2">
        <f t="shared" si="5"/>
        <v>0.46397488439942158</v>
      </c>
      <c r="M14" s="4">
        <f>AVERAGE(B14:L14)</f>
        <v>0.23906510389751026</v>
      </c>
    </row>
    <row r="17" spans="6:12" x14ac:dyDescent="0.35">
      <c r="K17" t="s">
        <v>29</v>
      </c>
    </row>
    <row r="18" spans="6:12" x14ac:dyDescent="0.35">
      <c r="L18" t="s">
        <v>30</v>
      </c>
    </row>
    <row r="26" spans="6:12" x14ac:dyDescent="0.35">
      <c r="F26" s="8">
        <v>1340000</v>
      </c>
      <c r="G26" s="8">
        <f>F26/16</f>
        <v>83750</v>
      </c>
      <c r="H26" s="8">
        <f>G26/G27</f>
        <v>1.2617381257649651</v>
      </c>
    </row>
    <row r="27" spans="6:12" x14ac:dyDescent="0.35">
      <c r="F27">
        <v>962462</v>
      </c>
      <c r="G27">
        <f>F27/14.5</f>
        <v>66376.68965517242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Hill</cp:lastModifiedBy>
  <dcterms:created xsi:type="dcterms:W3CDTF">2021-04-12T21:52:29Z</dcterms:created>
  <dcterms:modified xsi:type="dcterms:W3CDTF">2021-04-15T16:56:53Z</dcterms:modified>
</cp:coreProperties>
</file>