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884592A2-AB1E-4466-9713-F43D6A8CF042}" xr6:coauthVersionLast="47" xr6:coauthVersionMax="47" xr10:uidLastSave="{00000000-0000-0000-0000-000000000000}"/>
  <bookViews>
    <workbookView xWindow="-110" yWindow="-110" windowWidth="19420" windowHeight="10300" xr2:uid="{19784BED-E69C-498E-9D27-C5EB263D22FE}"/>
  </bookViews>
  <sheets>
    <sheet name="Summary" sheetId="7" r:id="rId1"/>
    <sheet name="filtereffectivedataWV1" sheetId="4" r:id="rId2"/>
    <sheet name="filtereffectivedataWV2" sheetId="5" r:id="rId3"/>
    <sheet name="Observed (Moons)" sheetId="6" r:id="rId4"/>
    <sheet name="Moons - Old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6" l="1"/>
  <c r="B35" i="7"/>
  <c r="B39" i="7" s="1"/>
  <c r="B34" i="7"/>
  <c r="F29" i="7" l="1"/>
  <c r="E29" i="7"/>
  <c r="E26" i="7"/>
  <c r="B29" i="7"/>
  <c r="F20" i="7"/>
  <c r="F22" i="7" s="1"/>
  <c r="E20" i="7"/>
  <c r="E22" i="7" s="1"/>
  <c r="F17" i="7"/>
  <c r="F19" i="7" s="1"/>
  <c r="E17" i="7"/>
  <c r="D20" i="7"/>
  <c r="B20" i="7"/>
  <c r="B22" i="7" s="1"/>
  <c r="B17" i="7"/>
  <c r="B19" i="7" s="1"/>
  <c r="E12" i="7"/>
  <c r="F12" i="7"/>
  <c r="F9" i="7"/>
  <c r="E9" i="7"/>
  <c r="B12" i="7"/>
  <c r="D9" i="7"/>
  <c r="B9" i="7"/>
  <c r="T4" i="6"/>
  <c r="T3" i="6"/>
  <c r="S2" i="5"/>
  <c r="S2" i="4"/>
  <c r="F4" i="7"/>
  <c r="E4" i="7"/>
  <c r="B4" i="7"/>
  <c r="L28" i="6"/>
  <c r="L29" i="6" s="1"/>
  <c r="L27" i="6"/>
  <c r="L25" i="6"/>
  <c r="R21" i="6"/>
  <c r="R19" i="6"/>
  <c r="B28" i="4"/>
  <c r="T2" i="4" s="1"/>
  <c r="B28" i="5"/>
  <c r="N2" i="5"/>
  <c r="P2" i="5" s="1"/>
  <c r="L8" i="6"/>
  <c r="K8" i="6"/>
  <c r="B28" i="6"/>
  <c r="G12" i="6"/>
  <c r="F12" i="6"/>
  <c r="G8" i="6"/>
  <c r="F8" i="6"/>
  <c r="G7" i="6"/>
  <c r="H7" i="6" s="1"/>
  <c r="F7" i="6"/>
  <c r="I7" i="6" s="1"/>
  <c r="L7" i="6" s="1"/>
  <c r="G6" i="6"/>
  <c r="H6" i="6" s="1"/>
  <c r="F6" i="6"/>
  <c r="I6" i="6" s="1"/>
  <c r="K6" i="6" s="1"/>
  <c r="M6" i="6" s="1"/>
  <c r="G4" i="6"/>
  <c r="F4" i="6"/>
  <c r="J4" i="6" s="1"/>
  <c r="G3" i="6"/>
  <c r="F3" i="6"/>
  <c r="I3" i="6" s="1"/>
  <c r="K3" i="6" s="1"/>
  <c r="B22" i="3"/>
  <c r="C22" i="3"/>
  <c r="N8" i="4"/>
  <c r="P8" i="4" s="1"/>
  <c r="N5" i="4"/>
  <c r="P5" i="4" s="1"/>
  <c r="P8" i="5"/>
  <c r="O8" i="5"/>
  <c r="O5" i="5"/>
  <c r="N8" i="5"/>
  <c r="K17" i="5"/>
  <c r="K18" i="5" s="1"/>
  <c r="M10" i="5"/>
  <c r="L10" i="5"/>
  <c r="M9" i="5"/>
  <c r="L9" i="5"/>
  <c r="M8" i="5"/>
  <c r="L8" i="5"/>
  <c r="M7" i="5"/>
  <c r="L7" i="5"/>
  <c r="M6" i="5"/>
  <c r="L6" i="5"/>
  <c r="N5" i="5"/>
  <c r="P5" i="5" s="1"/>
  <c r="M5" i="5"/>
  <c r="L5" i="5"/>
  <c r="N4" i="5"/>
  <c r="Q4" i="5" s="1"/>
  <c r="F21" i="7" s="1"/>
  <c r="M4" i="5"/>
  <c r="L4" i="5"/>
  <c r="M3" i="5"/>
  <c r="L3" i="5"/>
  <c r="M2" i="5"/>
  <c r="L2" i="5"/>
  <c r="K17" i="4"/>
  <c r="K18" i="4" s="1"/>
  <c r="M10" i="4"/>
  <c r="L10" i="4"/>
  <c r="M9" i="4"/>
  <c r="L9" i="4"/>
  <c r="M8" i="4"/>
  <c r="L8" i="4"/>
  <c r="M7" i="4"/>
  <c r="L7" i="4"/>
  <c r="M6" i="4"/>
  <c r="L6" i="4"/>
  <c r="M5" i="4"/>
  <c r="L5" i="4"/>
  <c r="N4" i="4"/>
  <c r="O4" i="4" s="1"/>
  <c r="P17" i="4" s="1"/>
  <c r="P18" i="4" s="1"/>
  <c r="M4" i="4"/>
  <c r="L4" i="4"/>
  <c r="M3" i="4"/>
  <c r="L3" i="4"/>
  <c r="N2" i="4"/>
  <c r="P2" i="4" s="1"/>
  <c r="E6" i="7" s="1"/>
  <c r="M2" i="4"/>
  <c r="L2" i="4"/>
  <c r="G17" i="7" l="1"/>
  <c r="H19" i="7"/>
  <c r="E19" i="7"/>
  <c r="G19" i="7" s="1"/>
  <c r="F26" i="7"/>
  <c r="T2" i="5"/>
  <c r="F6" i="7"/>
  <c r="O4" i="5"/>
  <c r="F10" i="7"/>
  <c r="H17" i="7"/>
  <c r="E7" i="7"/>
  <c r="E27" i="7"/>
  <c r="E11" i="7"/>
  <c r="E28" i="7"/>
  <c r="Q4" i="4"/>
  <c r="H22" i="7"/>
  <c r="G22" i="7"/>
  <c r="H29" i="7"/>
  <c r="G29" i="7"/>
  <c r="H4" i="7"/>
  <c r="H20" i="7"/>
  <c r="H12" i="7"/>
  <c r="G20" i="7"/>
  <c r="G4" i="7"/>
  <c r="H9" i="7"/>
  <c r="G9" i="7"/>
  <c r="G12" i="7"/>
  <c r="O6" i="6"/>
  <c r="O7" i="6"/>
  <c r="O3" i="6"/>
  <c r="L6" i="6"/>
  <c r="K7" i="6"/>
  <c r="L3" i="6"/>
  <c r="J6" i="6"/>
  <c r="J7" i="6"/>
  <c r="J3" i="6"/>
  <c r="I4" i="6"/>
  <c r="O4" i="6" s="1"/>
  <c r="O8" i="4"/>
  <c r="O5" i="4"/>
  <c r="R2" i="5"/>
  <c r="P17" i="5"/>
  <c r="P18" i="5" s="1"/>
  <c r="R2" i="4"/>
  <c r="F5" i="7" l="1"/>
  <c r="F18" i="7"/>
  <c r="F28" i="7"/>
  <c r="F11" i="7"/>
  <c r="F7" i="7"/>
  <c r="F27" i="7"/>
  <c r="E10" i="7"/>
  <c r="E21" i="7"/>
  <c r="E18" i="7"/>
  <c r="E5" i="7"/>
  <c r="Q3" i="6"/>
  <c r="S3" i="6"/>
  <c r="Q4" i="6"/>
  <c r="S4" i="6"/>
  <c r="P6" i="6"/>
  <c r="R6" i="6"/>
  <c r="P7" i="6"/>
  <c r="R7" i="6"/>
  <c r="N3" i="6"/>
  <c r="L16" i="6"/>
  <c r="L17" i="6" s="1"/>
  <c r="M7" i="6"/>
  <c r="K4" i="6"/>
  <c r="L4" i="6"/>
  <c r="N4" i="6" s="1"/>
  <c r="K7" i="3"/>
  <c r="G7" i="3"/>
  <c r="F7" i="3"/>
  <c r="F8" i="3" s="1"/>
  <c r="E7" i="3"/>
  <c r="E8" i="3" s="1"/>
  <c r="C7" i="3"/>
  <c r="B7" i="3"/>
  <c r="K6" i="3"/>
  <c r="G6" i="3"/>
  <c r="F6" i="3"/>
  <c r="E6" i="3"/>
  <c r="E12" i="3" s="1"/>
  <c r="C6" i="3"/>
  <c r="C13" i="3" s="1"/>
  <c r="B6" i="3"/>
  <c r="O9" i="3"/>
  <c r="B5" i="7" l="1"/>
  <c r="B18" i="7"/>
  <c r="B10" i="7"/>
  <c r="B21" i="7"/>
  <c r="B28" i="7"/>
  <c r="B11" i="7"/>
  <c r="B26" i="7"/>
  <c r="B6" i="7"/>
  <c r="U4" i="6"/>
  <c r="L18" i="6"/>
  <c r="L19" i="6" s="1"/>
  <c r="F13" i="3"/>
  <c r="C12" i="3"/>
  <c r="F12" i="3"/>
  <c r="F11" i="3"/>
  <c r="B12" i="3"/>
  <c r="F10" i="3"/>
  <c r="F9" i="3"/>
  <c r="E9" i="3"/>
  <c r="E10" i="3"/>
  <c r="E11" i="3"/>
  <c r="B7" i="7" l="1"/>
  <c r="B27" i="7"/>
  <c r="H5" i="7"/>
  <c r="G5" i="7"/>
  <c r="G6" i="7"/>
  <c r="H6" i="7"/>
  <c r="H26" i="7"/>
  <c r="G26" i="7"/>
  <c r="G11" i="7"/>
  <c r="H11" i="7"/>
  <c r="G28" i="7"/>
  <c r="H28" i="7"/>
  <c r="G21" i="7"/>
  <c r="H21" i="7"/>
  <c r="H10" i="7"/>
  <c r="G10" i="7"/>
  <c r="H18" i="7"/>
  <c r="G18" i="7"/>
  <c r="G13" i="3"/>
  <c r="B16" i="3"/>
  <c r="B17" i="3" s="1"/>
  <c r="B21" i="3" s="1"/>
  <c r="B19" i="3"/>
  <c r="C16" i="3"/>
  <c r="C19" i="3"/>
  <c r="F14" i="3"/>
  <c r="F15" i="3" s="1"/>
  <c r="E14" i="3"/>
  <c r="G27" i="7" l="1"/>
  <c r="H27" i="7"/>
  <c r="H7" i="7"/>
  <c r="G7" i="7"/>
  <c r="B20" i="3"/>
  <c r="B18" i="3"/>
  <c r="C18" i="3"/>
  <c r="C17" i="3"/>
  <c r="C21" i="3" s="1"/>
  <c r="C20" i="3"/>
  <c r="E15" i="3"/>
  <c r="H14" i="3"/>
  <c r="G14" i="3"/>
  <c r="I14" i="3" l="1"/>
  <c r="H15" i="3"/>
  <c r="G15" i="3"/>
  <c r="I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A4" authorId="0" shapeId="0" xr:uid="{4EF18C22-8846-445F-BD14-82994C072826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
</t>
        </r>
      </text>
    </comment>
    <comment ref="A7" authorId="0" shapeId="0" xr:uid="{AE6FB231-4D83-48B0-AA6E-1F8829522E58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C1" authorId="0" shapeId="0" xr:uid="{ED6610B7-7A6B-4985-ACE8-FB8B14CF25E2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
</t>
        </r>
      </text>
    </comment>
    <comment ref="F1" authorId="0" shapeId="0" xr:uid="{96EACB46-1A66-4D4F-B65B-46AD46394E66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</t>
        </r>
      </text>
    </comment>
    <comment ref="C2" authorId="0" shapeId="0" xr:uid="{1BD6E458-229F-40AB-AF5E-307A4A04A3B0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
</t>
        </r>
      </text>
    </comment>
    <comment ref="F2" authorId="0" shapeId="0" xr:uid="{9A3940A9-9572-488B-89BE-452CF6BA6184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</t>
        </r>
      </text>
    </comment>
  </commentList>
</comments>
</file>

<file path=xl/sharedStrings.xml><?xml version="1.0" encoding="utf-8"?>
<sst xmlns="http://schemas.openxmlformats.org/spreadsheetml/2006/main" count="264" uniqueCount="107">
  <si>
    <t>Stddev</t>
  </si>
  <si>
    <t>Mean</t>
  </si>
  <si>
    <t>StdErr</t>
  </si>
  <si>
    <t>TransErr</t>
  </si>
  <si>
    <t>AbsErr</t>
  </si>
  <si>
    <t>CH4 Ab</t>
  </si>
  <si>
    <t>KCH4</t>
  </si>
  <si>
    <t>KNH3</t>
  </si>
  <si>
    <r>
      <t>(km-atm)</t>
    </r>
    <r>
      <rPr>
        <vertAlign val="superscript"/>
        <sz val="11"/>
        <color theme="1"/>
        <rFont val="Calibri"/>
        <family val="2"/>
        <scheme val="minor"/>
      </rPr>
      <t>-1</t>
    </r>
  </si>
  <si>
    <t>amagat</t>
  </si>
  <si>
    <t>cm-2</t>
  </si>
  <si>
    <t>gravity</t>
  </si>
  <si>
    <t>cm/s^2</t>
  </si>
  <si>
    <t>mmolwt</t>
  </si>
  <si>
    <t>stp</t>
  </si>
  <si>
    <t>dyne/cm^2</t>
  </si>
  <si>
    <t>amagat*gravity*mean_mol_wt/(fCH4*STP)</t>
  </si>
  <si>
    <t>X=</t>
  </si>
  <si>
    <t>Optical Depth</t>
  </si>
  <si>
    <t>Absorption Ratio</t>
  </si>
  <si>
    <t>Optical Depth Ratio</t>
  </si>
  <si>
    <t>Ammonia Abundance Index</t>
  </si>
  <si>
    <t>Col Dens (amagat)</t>
  </si>
  <si>
    <t xml:space="preserve">  N=2</t>
  </si>
  <si>
    <t xml:space="preserve">  N=4</t>
  </si>
  <si>
    <t>Pressure (Bar) - Mendikoa</t>
  </si>
  <si>
    <t>Pressure (Bar) - Hill</t>
  </si>
  <si>
    <t>Wavelength (nm)</t>
  </si>
  <si>
    <t>Filter Name</t>
  </si>
  <si>
    <t>k_eff (NH3)</t>
  </si>
  <si>
    <t>l_eff (NH3)</t>
  </si>
  <si>
    <t>k_eff (CH4)</t>
  </si>
  <si>
    <t>l_eff (CH4)</t>
  </si>
  <si>
    <t>Trans</t>
  </si>
  <si>
    <t>Tau</t>
  </si>
  <si>
    <t>NH3 (m-atm)</t>
  </si>
  <si>
    <t>CH4 (m-atm)</t>
  </si>
  <si>
    <t>620CH4</t>
  </si>
  <si>
    <t>632OI</t>
  </si>
  <si>
    <t>647NH3</t>
  </si>
  <si>
    <t>656HIA</t>
  </si>
  <si>
    <t>658NII</t>
  </si>
  <si>
    <t>672SII</t>
  </si>
  <si>
    <t>730OII</t>
  </si>
  <si>
    <t>889CH4</t>
  </si>
  <si>
    <t>940NIR</t>
  </si>
  <si>
    <t>s (NH3) (m)</t>
  </si>
  <si>
    <t>s (CH4) (m)</t>
  </si>
  <si>
    <t>S(joint) (m)</t>
  </si>
  <si>
    <t>ρs (NH3,joint)
(m-atm)</t>
  </si>
  <si>
    <t>ρs (CH4,joint)
(m-atm)</t>
  </si>
  <si>
    <t>Tau (NH3)</t>
  </si>
  <si>
    <t>Tau (CH4)</t>
  </si>
  <si>
    <t>N(NH3)/N(CH4)</t>
  </si>
  <si>
    <t>N(NH3)</t>
  </si>
  <si>
    <t>Transmission</t>
  </si>
  <si>
    <t>Tau StdErr</t>
  </si>
  <si>
    <t>f(CH4)</t>
  </si>
  <si>
    <t>f(NH3)</t>
  </si>
  <si>
    <t>Observed</t>
  </si>
  <si>
    <t>Model1</t>
  </si>
  <si>
    <t>Model 2</t>
  </si>
  <si>
    <t>620 nm</t>
  </si>
  <si>
    <t>T</t>
  </si>
  <si>
    <t>±</t>
  </si>
  <si>
    <t>P (n=4) (mb)</t>
  </si>
  <si>
    <t>Pressure (mb) - Mendikoa</t>
  </si>
  <si>
    <t>Pressure (mb) - Hill</t>
  </si>
  <si>
    <t>O-P1</t>
  </si>
  <si>
    <t>O-P2</t>
  </si>
  <si>
    <t>647 nm</t>
  </si>
  <si>
    <t>f(NH3) (ppm)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</si>
  <si>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 (m-atm)</t>
    </r>
  </si>
  <si>
    <t>τ</t>
  </si>
  <si>
    <t>Parameter</t>
  </si>
  <si>
    <t>Filter</t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</si>
  <si>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</si>
  <si>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</si>
  <si>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</si>
  <si>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</si>
  <si>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647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</si>
  <si>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620</t>
    </r>
  </si>
  <si>
    <r>
      <t>τ</t>
    </r>
    <r>
      <rPr>
        <i/>
        <vertAlign val="subscript"/>
        <sz val="11"/>
        <color theme="1"/>
        <rFont val="Calibri"/>
        <family val="2"/>
      </rPr>
      <t>647</t>
    </r>
  </si>
  <si>
    <r>
      <t>τ</t>
    </r>
    <r>
      <rPr>
        <i/>
        <vertAlign val="subscript"/>
        <sz val="11"/>
        <color theme="1"/>
        <rFont val="Calibri"/>
        <family val="2"/>
      </rPr>
      <t>620</t>
    </r>
  </si>
  <si>
    <t>O-M1</t>
  </si>
  <si>
    <t>O-M2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</si>
  <si>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(m-atm)</t>
    </r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</si>
  <si>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647</t>
    </r>
    <r>
      <rPr>
        <i/>
        <sz val="11"/>
        <color theme="1"/>
        <rFont val="Calibri"/>
        <family val="2"/>
        <scheme val="minor"/>
      </rPr>
      <t xml:space="preserve"> (m-atm)</t>
    </r>
  </si>
  <si>
    <r>
      <t>f(NH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 (ppm)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</si>
  <si>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=4) (mb)</t>
    </r>
  </si>
  <si>
    <r>
      <t>W</t>
    </r>
    <r>
      <rPr>
        <i/>
        <vertAlign val="subscript"/>
        <sz val="11"/>
        <color theme="1"/>
        <rFont val="Calibri"/>
        <family val="2"/>
      </rPr>
      <t>620</t>
    </r>
  </si>
  <si>
    <t>m</t>
  </si>
  <si>
    <t>b</t>
  </si>
  <si>
    <r>
      <t>W</t>
    </r>
    <r>
      <rPr>
        <i/>
        <vertAlign val="subscript"/>
        <sz val="11"/>
        <color theme="1"/>
        <rFont val="Calibri"/>
        <family val="2"/>
      </rPr>
      <t>647</t>
    </r>
  </si>
  <si>
    <t>Methane</t>
  </si>
  <si>
    <t>Continuum</t>
  </si>
  <si>
    <t>Ammonia</t>
  </si>
  <si>
    <t>Role</t>
  </si>
  <si>
    <t>NH3</t>
  </si>
  <si>
    <t>CH4</t>
  </si>
  <si>
    <t>AGU AAI (ppm)</t>
  </si>
  <si>
    <t>AGU Values Based on inconsistent numbers</t>
  </si>
  <si>
    <t>635-660</t>
  </si>
  <si>
    <t>627-667</t>
  </si>
  <si>
    <t>600-640</t>
  </si>
  <si>
    <t>605-635</t>
  </si>
  <si>
    <t>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</si>
</sst>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quotePrefix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5" xfId="0" applyBorder="1"/>
    <xf numFmtId="0" fontId="2" fillId="0" borderId="0" xfId="0" applyFont="1"/>
    <xf numFmtId="164" fontId="2" fillId="0" borderId="0" xfId="0" applyNumberFormat="1" applyFont="1"/>
    <xf numFmtId="10" fontId="0" fillId="0" borderId="0" xfId="1" applyNumberFormat="1" applyFont="1" applyBorder="1"/>
    <xf numFmtId="0" fontId="0" fillId="0" borderId="7" xfId="0" applyBorder="1"/>
    <xf numFmtId="10" fontId="0" fillId="0" borderId="7" xfId="1" applyNumberFormat="1" applyFont="1" applyBorder="1"/>
    <xf numFmtId="0" fontId="0" fillId="0" borderId="8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1" fontId="4" fillId="0" borderId="0" xfId="0" applyNumberFormat="1" applyFont="1"/>
    <xf numFmtId="165" fontId="0" fillId="0" borderId="0" xfId="0" applyNumberFormat="1"/>
    <xf numFmtId="9" fontId="0" fillId="0" borderId="0" xfId="1" applyFont="1" applyBorder="1"/>
    <xf numFmtId="10" fontId="0" fillId="0" borderId="0" xfId="1" applyNumberFormat="1" applyFont="1"/>
    <xf numFmtId="0" fontId="7" fillId="0" borderId="0" xfId="0" applyFont="1" applyAlignment="1">
      <alignment horizontal="center" wrapText="1"/>
    </xf>
    <xf numFmtId="11" fontId="2" fillId="2" borderId="0" xfId="0" applyNumberFormat="1" applyFont="1" applyFill="1"/>
    <xf numFmtId="2" fontId="2" fillId="2" borderId="0" xfId="0" applyNumberFormat="1" applyFont="1" applyFill="1"/>
    <xf numFmtId="1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/>
    </xf>
    <xf numFmtId="11" fontId="10" fillId="0" borderId="0" xfId="0" applyNumberFormat="1" applyFont="1"/>
    <xf numFmtId="11" fontId="11" fillId="0" borderId="0" xfId="0" applyNumberFormat="1" applyFont="1"/>
    <xf numFmtId="11" fontId="12" fillId="0" borderId="0" xfId="0" applyNumberFormat="1" applyFont="1"/>
    <xf numFmtId="11" fontId="8" fillId="2" borderId="0" xfId="0" applyNumberFormat="1" applyFont="1" applyFill="1"/>
    <xf numFmtId="11" fontId="4" fillId="2" borderId="0" xfId="0" applyNumberFormat="1" applyFont="1" applyFill="1"/>
    <xf numFmtId="165" fontId="2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1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6" fontId="0" fillId="0" borderId="0" xfId="0" applyNumberFormat="1"/>
    <xf numFmtId="1" fontId="0" fillId="0" borderId="0" xfId="0" applyNumberFormat="1"/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7" xfId="0" applyNumberFormat="1" applyBorder="1"/>
    <xf numFmtId="1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14" fillId="0" borderId="7" xfId="0" applyFont="1" applyBorder="1" applyAlignment="1">
      <alignment horizontal="center"/>
    </xf>
    <xf numFmtId="164" fontId="0" fillId="0" borderId="7" xfId="0" applyNumberFormat="1" applyBorder="1"/>
    <xf numFmtId="164" fontId="7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left"/>
    </xf>
    <xf numFmtId="164" fontId="2" fillId="3" borderId="0" xfId="0" applyNumberFormat="1" applyFont="1" applyFill="1"/>
    <xf numFmtId="0" fontId="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89E3-055C-4FD4-96DB-F71CA9E2F53C}">
  <dimension ref="A2:L39"/>
  <sheetViews>
    <sheetView showGridLines="0" tabSelected="1" topLeftCell="A17" zoomScaleNormal="100" workbookViewId="0">
      <selection activeCell="E26" sqref="E26"/>
    </sheetView>
  </sheetViews>
  <sheetFormatPr defaultRowHeight="15" x14ac:dyDescent="0.25"/>
  <cols>
    <col min="1" max="1" width="14.5703125" customWidth="1"/>
    <col min="2" max="2" width="6.42578125" customWidth="1"/>
    <col min="3" max="3" width="1.7109375" customWidth="1"/>
    <col min="4" max="4" width="5.42578125" customWidth="1"/>
    <col min="5" max="5" width="7.28515625" customWidth="1"/>
    <col min="6" max="6" width="7.140625" customWidth="1"/>
    <col min="7" max="7" width="6.85546875" customWidth="1"/>
    <col min="8" max="8" width="7" customWidth="1"/>
  </cols>
  <sheetData>
    <row r="2" spans="1:11" x14ac:dyDescent="0.25">
      <c r="A2" s="50" t="s">
        <v>74</v>
      </c>
      <c r="B2" s="67" t="s">
        <v>59</v>
      </c>
      <c r="C2" s="67"/>
      <c r="D2" s="67"/>
      <c r="E2" s="50" t="s">
        <v>60</v>
      </c>
      <c r="F2" s="50" t="s">
        <v>61</v>
      </c>
      <c r="G2" s="50" t="s">
        <v>68</v>
      </c>
      <c r="H2" s="50" t="s">
        <v>69</v>
      </c>
    </row>
    <row r="3" spans="1:11" ht="24.95" customHeight="1" x14ac:dyDescent="0.25">
      <c r="A3" s="67" t="s">
        <v>62</v>
      </c>
      <c r="B3" s="67"/>
      <c r="C3" s="67"/>
      <c r="D3" s="67"/>
      <c r="E3" s="67"/>
      <c r="F3" s="67"/>
      <c r="G3" s="67"/>
      <c r="H3" s="67"/>
    </row>
    <row r="4" spans="1:11" x14ac:dyDescent="0.25">
      <c r="A4" s="52" t="s">
        <v>63</v>
      </c>
      <c r="B4" s="1">
        <f>'Observed (Moons)'!F4</f>
        <v>0.90900000000000003</v>
      </c>
      <c r="C4" s="43"/>
      <c r="D4" s="45"/>
      <c r="E4" s="1">
        <f>filtereffectivedataWV1!H2</f>
        <v>0.88044472617695901</v>
      </c>
      <c r="F4" s="1">
        <f>filtereffectivedataWV2!H2</f>
        <v>0.87752920200100104</v>
      </c>
      <c r="G4" s="1">
        <f t="shared" ref="G4:H7" si="0">$B4-E4</f>
        <v>2.8555273823041016E-2</v>
      </c>
      <c r="H4" s="1">
        <f t="shared" si="0"/>
        <v>3.1470797998998989E-2</v>
      </c>
    </row>
    <row r="5" spans="1:11" x14ac:dyDescent="0.25">
      <c r="A5" s="53" t="s">
        <v>73</v>
      </c>
      <c r="B5" s="1">
        <f>'Observed (Moons)'!S4</f>
        <v>9.5181764996884979E-2</v>
      </c>
      <c r="C5" s="43"/>
      <c r="D5" s="45"/>
      <c r="E5" s="1">
        <f>filtereffectivedataWV1!R2</f>
        <v>0.12696087524944569</v>
      </c>
      <c r="F5" s="1">
        <f>filtereffectivedataWV2!R2</f>
        <v>0.13004317472645083</v>
      </c>
      <c r="G5" s="1">
        <f t="shared" si="0"/>
        <v>-3.1779110252560708E-2</v>
      </c>
      <c r="H5" s="1">
        <f t="shared" si="0"/>
        <v>-3.4861409729565848E-2</v>
      </c>
    </row>
    <row r="6" spans="1:11" x14ac:dyDescent="0.25">
      <c r="A6" s="52" t="s">
        <v>72</v>
      </c>
      <c r="B6" s="42">
        <f>'Observed (Moons)'!Q4</f>
        <v>222.27658609081661</v>
      </c>
      <c r="C6" s="42"/>
      <c r="D6" s="46"/>
      <c r="E6" s="42">
        <f>filtereffectivedataWV1!P2</f>
        <v>296.48987827103662</v>
      </c>
      <c r="F6" s="42">
        <f>filtereffectivedataWV2!P2</f>
        <v>303.68792723640968</v>
      </c>
      <c r="G6" s="42">
        <f t="shared" si="0"/>
        <v>-74.213292180220009</v>
      </c>
      <c r="H6" s="42">
        <f t="shared" si="0"/>
        <v>-81.41134114559307</v>
      </c>
    </row>
    <row r="7" spans="1:11" x14ac:dyDescent="0.25">
      <c r="A7" s="52" t="s">
        <v>65</v>
      </c>
      <c r="B7" s="42">
        <f>'Observed (Moons)'!U4</f>
        <v>701.3938829189841</v>
      </c>
      <c r="C7" s="42"/>
      <c r="D7" s="46"/>
      <c r="E7" s="42">
        <f>filtereffectivedataWV1!T2</f>
        <v>935.57396495973558</v>
      </c>
      <c r="F7" s="42">
        <f>filtereffectivedataWV2!T2</f>
        <v>958.28741221054611</v>
      </c>
      <c r="G7" s="42">
        <f t="shared" si="0"/>
        <v>-234.18008204075147</v>
      </c>
      <c r="H7" s="42">
        <f t="shared" si="0"/>
        <v>-256.893529291562</v>
      </c>
    </row>
    <row r="8" spans="1:11" ht="24.95" customHeight="1" x14ac:dyDescent="0.25">
      <c r="A8" s="68" t="s">
        <v>70</v>
      </c>
      <c r="B8" s="68"/>
      <c r="C8" s="68"/>
      <c r="D8" s="68"/>
      <c r="E8" s="68"/>
      <c r="F8" s="68"/>
      <c r="G8" s="68"/>
      <c r="H8" s="68"/>
    </row>
    <row r="9" spans="1:11" x14ac:dyDescent="0.25">
      <c r="A9" s="52" t="s">
        <v>63</v>
      </c>
      <c r="B9" s="1">
        <f>'Observed (Moons)'!F7</f>
        <v>0.97366666666666657</v>
      </c>
      <c r="C9" s="43" t="s">
        <v>64</v>
      </c>
      <c r="D9" s="45">
        <f>'Observed (Moons)'!G7</f>
        <v>1.6996731711975963E-3</v>
      </c>
      <c r="E9" s="1">
        <f>filtereffectivedataWV1!H4</f>
        <v>0.959648622713281</v>
      </c>
      <c r="F9" s="1">
        <f>filtereffectivedataWV2!H4</f>
        <v>0.93961317715009796</v>
      </c>
      <c r="G9" s="1">
        <f t="shared" ref="G9:H12" si="1">$B9-E9</f>
        <v>1.4018043953385573E-2</v>
      </c>
      <c r="H9" s="1">
        <f t="shared" si="1"/>
        <v>3.4053489516568614E-2</v>
      </c>
    </row>
    <row r="10" spans="1:11" x14ac:dyDescent="0.25">
      <c r="A10" s="53" t="s">
        <v>73</v>
      </c>
      <c r="B10" s="1">
        <f>'Observed (Moons)'!R7</f>
        <v>2.0458562650615908E-2</v>
      </c>
      <c r="C10" s="43"/>
      <c r="D10" s="45"/>
      <c r="E10" s="1">
        <f>filtereffectivedataWV1!Q4</f>
        <v>3.2883539858359498E-2</v>
      </c>
      <c r="F10" s="1">
        <f>filtereffectivedataWV2!Q4</f>
        <v>5.3795863958974247E-2</v>
      </c>
      <c r="G10" s="1">
        <f t="shared" si="1"/>
        <v>-1.242497720774359E-2</v>
      </c>
      <c r="H10" s="1">
        <f t="shared" si="1"/>
        <v>-3.3337301308358339E-2</v>
      </c>
    </row>
    <row r="11" spans="1:11" x14ac:dyDescent="0.25">
      <c r="A11" s="52" t="s">
        <v>72</v>
      </c>
      <c r="B11" s="41">
        <f>'Observed (Moons)'!P7</f>
        <v>6.9014886176688792</v>
      </c>
      <c r="C11" s="42"/>
      <c r="D11" s="46"/>
      <c r="E11" s="41">
        <f>filtereffectivedataWV1!O4</f>
        <v>11.092928663504953</v>
      </c>
      <c r="F11" s="41">
        <f>filtereffectivedataWV2!O4</f>
        <v>18.147489104242968</v>
      </c>
      <c r="G11" s="41">
        <f t="shared" si="1"/>
        <v>-4.1914400458360737</v>
      </c>
      <c r="H11" s="41">
        <f t="shared" si="1"/>
        <v>-11.24600048657409</v>
      </c>
    </row>
    <row r="12" spans="1:11" x14ac:dyDescent="0.25">
      <c r="A12" s="51" t="s">
        <v>71</v>
      </c>
      <c r="B12" s="47">
        <f>'Observed (Moons)'!O17*1000000</f>
        <v>56</v>
      </c>
      <c r="C12" s="47"/>
      <c r="D12" s="48"/>
      <c r="E12" s="47">
        <f>filtereffectivedataWV1!N14*1000000</f>
        <v>67.5</v>
      </c>
      <c r="F12" s="47">
        <f>filtereffectivedataWV2!N14*1000000</f>
        <v>108</v>
      </c>
      <c r="G12" s="47">
        <f t="shared" si="1"/>
        <v>-11.5</v>
      </c>
      <c r="H12" s="47">
        <f t="shared" si="1"/>
        <v>-52</v>
      </c>
    </row>
    <row r="13" spans="1:11" x14ac:dyDescent="0.25">
      <c r="D13" s="17"/>
    </row>
    <row r="14" spans="1:11" x14ac:dyDescent="0.25">
      <c r="D14" s="17"/>
    </row>
    <row r="16" spans="1:11" x14ac:dyDescent="0.25">
      <c r="A16" s="50" t="s">
        <v>74</v>
      </c>
      <c r="B16" s="67" t="s">
        <v>59</v>
      </c>
      <c r="C16" s="67"/>
      <c r="D16" s="67"/>
      <c r="E16" s="50" t="s">
        <v>106</v>
      </c>
      <c r="F16" s="50" t="s">
        <v>61</v>
      </c>
      <c r="G16" s="50" t="s">
        <v>84</v>
      </c>
      <c r="H16" s="50" t="s">
        <v>85</v>
      </c>
      <c r="K16" s="65"/>
    </row>
    <row r="17" spans="1:12" ht="18" x14ac:dyDescent="0.35">
      <c r="A17" s="52" t="s">
        <v>81</v>
      </c>
      <c r="B17" s="1">
        <f>'Observed (Moons)'!F4</f>
        <v>0.90900000000000003</v>
      </c>
      <c r="C17" s="43"/>
      <c r="D17" s="45"/>
      <c r="E17" s="1">
        <f>filtereffectivedataWV1!H2</f>
        <v>0.88044472617695901</v>
      </c>
      <c r="F17" s="1">
        <f>filtereffectivedataWV2!H2</f>
        <v>0.87752920200100104</v>
      </c>
      <c r="G17" s="1">
        <f t="shared" ref="G17:G18" si="2">$B17-E17</f>
        <v>2.8555273823041016E-2</v>
      </c>
      <c r="H17" s="1">
        <f t="shared" ref="H17:H18" si="3">$B17-F17</f>
        <v>3.1470797998998989E-2</v>
      </c>
      <c r="J17" t="s">
        <v>91</v>
      </c>
      <c r="K17" t="s">
        <v>92</v>
      </c>
    </row>
    <row r="18" spans="1:12" ht="18" x14ac:dyDescent="0.35">
      <c r="A18" s="53" t="s">
        <v>83</v>
      </c>
      <c r="B18" s="1">
        <f>'Observed (Moons)'!S4</f>
        <v>9.5181764996884979E-2</v>
      </c>
      <c r="C18" s="43"/>
      <c r="D18" s="45"/>
      <c r="E18" s="1">
        <f>filtereffectivedataWV1!R2</f>
        <v>0.12696087524944569</v>
      </c>
      <c r="F18" s="1">
        <f>filtereffectivedataWV2!R2</f>
        <v>0.13004317472645083</v>
      </c>
      <c r="G18" s="1">
        <f t="shared" si="2"/>
        <v>-3.1779110252560708E-2</v>
      </c>
      <c r="H18" s="1">
        <f t="shared" si="3"/>
        <v>-3.4861409729565848E-2</v>
      </c>
      <c r="J18" s="8">
        <v>-13.485223550000001</v>
      </c>
      <c r="K18" s="66">
        <v>13.478199330000001</v>
      </c>
      <c r="L18" s="8" t="s">
        <v>104</v>
      </c>
    </row>
    <row r="19" spans="1:12" ht="18" x14ac:dyDescent="0.35">
      <c r="A19" s="53" t="s">
        <v>90</v>
      </c>
      <c r="B19" s="1">
        <f>B17*$J$18+$K$18</f>
        <v>1.2201311230499989</v>
      </c>
      <c r="C19" s="43"/>
      <c r="D19" s="45"/>
      <c r="E19" s="1">
        <f>E17*$J$18+$K$18</f>
        <v>1.6052053740851715</v>
      </c>
      <c r="F19" s="1">
        <f>F17*$J$18+$K$18</f>
        <v>1.644521869363393</v>
      </c>
      <c r="G19" s="1">
        <f t="shared" ref="G19" si="4">$B19-E19</f>
        <v>-0.38507425103517257</v>
      </c>
      <c r="H19" s="1">
        <f t="shared" ref="H19" si="5">$B19-F19</f>
        <v>-0.42439074631339402</v>
      </c>
      <c r="J19">
        <v>-13.205698590000001</v>
      </c>
      <c r="K19" s="65">
        <v>13.19962834</v>
      </c>
      <c r="L19" t="s">
        <v>105</v>
      </c>
    </row>
    <row r="20" spans="1:12" ht="18" x14ac:dyDescent="0.35">
      <c r="A20" s="52" t="s">
        <v>80</v>
      </c>
      <c r="B20" s="1">
        <f>'Observed (Moons)'!F7</f>
        <v>0.97366666666666657</v>
      </c>
      <c r="C20" s="43" t="s">
        <v>64</v>
      </c>
      <c r="D20" s="45">
        <f>'Observed (Moons)'!G7</f>
        <v>1.6996731711975963E-3</v>
      </c>
      <c r="E20" s="1">
        <f>filtereffectivedataWV1!H4</f>
        <v>0.959648622713281</v>
      </c>
      <c r="F20" s="1">
        <f>filtereffectivedataWV2!H4</f>
        <v>0.93961317715009796</v>
      </c>
      <c r="G20" s="1">
        <f t="shared" ref="G20:G22" si="6">$B20-E20</f>
        <v>1.4018043953385573E-2</v>
      </c>
      <c r="H20" s="1">
        <f t="shared" ref="H20:H22" si="7">$B20-F20</f>
        <v>3.4053489516568614E-2</v>
      </c>
      <c r="J20" t="s">
        <v>91</v>
      </c>
      <c r="K20" t="s">
        <v>92</v>
      </c>
    </row>
    <row r="21" spans="1:12" ht="18" x14ac:dyDescent="0.35">
      <c r="A21" s="53" t="s">
        <v>82</v>
      </c>
      <c r="B21" s="1">
        <f>'Observed (Moons)'!R7</f>
        <v>2.0458562650615908E-2</v>
      </c>
      <c r="C21" s="43"/>
      <c r="D21" s="45"/>
      <c r="E21" s="1">
        <f>filtereffectivedataWV1!Q4</f>
        <v>3.2883539858359498E-2</v>
      </c>
      <c r="F21" s="1">
        <f>filtereffectivedataWV2!Q4</f>
        <v>5.3795863958974247E-2</v>
      </c>
      <c r="G21" s="1">
        <f t="shared" si="6"/>
        <v>-1.242497720774359E-2</v>
      </c>
      <c r="H21" s="1">
        <f t="shared" si="7"/>
        <v>-3.3337301308358339E-2</v>
      </c>
      <c r="J21" s="8">
        <v>-12.828318729999999</v>
      </c>
      <c r="K21" s="66">
        <v>12.82685019</v>
      </c>
      <c r="L21" s="8" t="s">
        <v>103</v>
      </c>
    </row>
    <row r="22" spans="1:12" ht="18" x14ac:dyDescent="0.35">
      <c r="A22" s="60" t="s">
        <v>93</v>
      </c>
      <c r="B22" s="61">
        <f>B20*$J$21+$K$21</f>
        <v>0.33634385322333493</v>
      </c>
      <c r="C22" s="62"/>
      <c r="D22" s="63"/>
      <c r="E22" s="61">
        <f t="shared" ref="E22:F22" si="8">E20*$J$21+$K$21</f>
        <v>0.51617178902851535</v>
      </c>
      <c r="F22" s="61">
        <f t="shared" si="8"/>
        <v>0.7731928706105915</v>
      </c>
      <c r="G22" s="61">
        <f t="shared" si="6"/>
        <v>-0.17982793580518042</v>
      </c>
      <c r="H22" s="61">
        <f t="shared" si="7"/>
        <v>-0.43684901738725657</v>
      </c>
      <c r="J22">
        <v>-12.3796292</v>
      </c>
      <c r="K22" s="65">
        <v>12.37847891</v>
      </c>
      <c r="L22" t="s">
        <v>102</v>
      </c>
    </row>
    <row r="25" spans="1:12" x14ac:dyDescent="0.25">
      <c r="A25" s="50" t="s">
        <v>74</v>
      </c>
      <c r="B25" s="67" t="s">
        <v>59</v>
      </c>
      <c r="C25" s="67"/>
      <c r="D25" s="67"/>
      <c r="E25" s="50" t="s">
        <v>60</v>
      </c>
      <c r="F25" s="50" t="s">
        <v>61</v>
      </c>
      <c r="G25" s="50" t="s">
        <v>84</v>
      </c>
      <c r="H25" s="50" t="s">
        <v>85</v>
      </c>
    </row>
    <row r="26" spans="1:12" ht="18" x14ac:dyDescent="0.35">
      <c r="A26" s="52" t="s">
        <v>86</v>
      </c>
      <c r="B26" s="42">
        <f>'Observed (Moons)'!Q4</f>
        <v>222.27658609081661</v>
      </c>
      <c r="C26" s="43"/>
      <c r="D26" s="45"/>
      <c r="E26" s="42">
        <f>filtereffectivedataWV1!P2</f>
        <v>296.48987827103662</v>
      </c>
      <c r="F26" s="42">
        <f>filtereffectivedataWV2!P2</f>
        <v>303.68792723640968</v>
      </c>
      <c r="G26" s="42">
        <f t="shared" ref="G26:G29" si="9">$B26-E26</f>
        <v>-74.213292180220009</v>
      </c>
      <c r="H26" s="42">
        <f t="shared" ref="H26:H29" si="10">$B26-F26</f>
        <v>-81.41134114559307</v>
      </c>
    </row>
    <row r="27" spans="1:12" ht="18" x14ac:dyDescent="0.35">
      <c r="A27" s="52" t="s">
        <v>89</v>
      </c>
      <c r="B27" s="42">
        <f>'Observed (Moons)'!U4</f>
        <v>701.3938829189841</v>
      </c>
      <c r="C27" s="43"/>
      <c r="D27" s="45"/>
      <c r="E27" s="42">
        <f>filtereffectivedataWV1!T2</f>
        <v>935.57396495973558</v>
      </c>
      <c r="F27" s="42">
        <f>filtereffectivedataWV2!T2</f>
        <v>958.28741221054611</v>
      </c>
      <c r="G27" s="42">
        <f t="shared" si="9"/>
        <v>-234.18008204075147</v>
      </c>
      <c r="H27" s="42">
        <f t="shared" si="10"/>
        <v>-256.893529291562</v>
      </c>
    </row>
    <row r="28" spans="1:12" ht="18" x14ac:dyDescent="0.35">
      <c r="A28" s="52" t="s">
        <v>87</v>
      </c>
      <c r="B28" s="41">
        <f>'Observed (Moons)'!P7</f>
        <v>6.9014886176688792</v>
      </c>
      <c r="C28" s="43"/>
      <c r="D28" s="45"/>
      <c r="E28" s="41">
        <f>filtereffectivedataWV1!O4</f>
        <v>11.092928663504953</v>
      </c>
      <c r="F28" s="41">
        <f>filtereffectivedataWV2!O4</f>
        <v>18.147489104242968</v>
      </c>
      <c r="G28" s="41">
        <f t="shared" si="9"/>
        <v>-4.1914400458360737</v>
      </c>
      <c r="H28" s="41">
        <f t="shared" si="10"/>
        <v>-11.24600048657409</v>
      </c>
    </row>
    <row r="29" spans="1:12" ht="18" x14ac:dyDescent="0.35">
      <c r="A29" s="51" t="s">
        <v>88</v>
      </c>
      <c r="B29" s="47">
        <f>'Observed (Moons)'!O17*1000000</f>
        <v>56</v>
      </c>
      <c r="C29" s="62"/>
      <c r="D29" s="63"/>
      <c r="E29" s="47">
        <f>filtereffectivedataWV1!N14*1000000</f>
        <v>67.5</v>
      </c>
      <c r="F29" s="47">
        <f>filtereffectivedataWV2!N14*1000000</f>
        <v>108</v>
      </c>
      <c r="G29" s="47">
        <f t="shared" si="9"/>
        <v>-11.5</v>
      </c>
      <c r="H29" s="47">
        <f t="shared" si="10"/>
        <v>-52</v>
      </c>
    </row>
    <row r="33" spans="1:2" x14ac:dyDescent="0.25">
      <c r="A33" t="s">
        <v>101</v>
      </c>
    </row>
    <row r="34" spans="1:2" x14ac:dyDescent="0.25">
      <c r="A34" t="s">
        <v>99</v>
      </c>
      <c r="B34">
        <f>-LN(0.858)</f>
        <v>0.15315117949417478</v>
      </c>
    </row>
    <row r="35" spans="1:2" x14ac:dyDescent="0.25">
      <c r="A35" t="s">
        <v>98</v>
      </c>
      <c r="B35">
        <f>-LN(0.928)</f>
        <v>7.4723546195936422E-2</v>
      </c>
    </row>
    <row r="36" spans="1:2" x14ac:dyDescent="0.25">
      <c r="A36" t="s">
        <v>57</v>
      </c>
      <c r="B36">
        <v>1.81E-3</v>
      </c>
    </row>
    <row r="37" spans="1:2" x14ac:dyDescent="0.25">
      <c r="A37" t="s">
        <v>6</v>
      </c>
      <c r="B37">
        <v>0.43</v>
      </c>
    </row>
    <row r="38" spans="1:2" x14ac:dyDescent="0.25">
      <c r="A38" t="s">
        <v>7</v>
      </c>
      <c r="B38">
        <v>2.96</v>
      </c>
    </row>
    <row r="39" spans="1:2" x14ac:dyDescent="0.25">
      <c r="A39" t="s">
        <v>100</v>
      </c>
      <c r="B39">
        <f>B36*(B35/B34)*(B37/B38)*1000000</f>
        <v>128.28989443628649</v>
      </c>
    </row>
  </sheetData>
  <mergeCells count="5">
    <mergeCell ref="B25:D25"/>
    <mergeCell ref="B2:D2"/>
    <mergeCell ref="A3:H3"/>
    <mergeCell ref="A8:H8"/>
    <mergeCell ref="B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4FD0-8187-4C33-A7D1-9E38C1AA4864}">
  <dimension ref="A1:T28"/>
  <sheetViews>
    <sheetView showGridLines="0" topLeftCell="C1" workbookViewId="0">
      <selection activeCell="P2" sqref="P2"/>
    </sheetView>
  </sheetViews>
  <sheetFormatPr defaultRowHeight="15" x14ac:dyDescent="0.25"/>
  <cols>
    <col min="1" max="1" width="11.5703125" customWidth="1"/>
    <col min="2" max="2" width="8.42578125" customWidth="1"/>
    <col min="3" max="6" width="8.5703125" customWidth="1"/>
    <col min="7" max="7" width="10.42578125" customWidth="1"/>
    <col min="8" max="9" width="8.85546875" bestFit="1" customWidth="1"/>
    <col min="10" max="11" width="10.42578125" bestFit="1" customWidth="1"/>
    <col min="12" max="17" width="11" customWidth="1"/>
    <col min="18" max="18" width="9.28515625" customWidth="1"/>
  </cols>
  <sheetData>
    <row r="1" spans="1:20" ht="38.1" customHeight="1" x14ac:dyDescent="0.25">
      <c r="A1" t="s">
        <v>27</v>
      </c>
      <c r="B1" s="54" t="s">
        <v>75</v>
      </c>
      <c r="C1" s="59" t="s">
        <v>76</v>
      </c>
      <c r="D1" s="59" t="s">
        <v>77</v>
      </c>
      <c r="E1" s="59" t="s">
        <v>78</v>
      </c>
      <c r="F1" s="59" t="s">
        <v>79</v>
      </c>
      <c r="G1" s="54" t="s">
        <v>97</v>
      </c>
      <c r="H1" t="s">
        <v>33</v>
      </c>
      <c r="I1" t="s">
        <v>34</v>
      </c>
      <c r="J1" t="s">
        <v>35</v>
      </c>
      <c r="K1" t="s">
        <v>36</v>
      </c>
      <c r="L1" t="s">
        <v>46</v>
      </c>
      <c r="M1" t="s">
        <v>47</v>
      </c>
      <c r="N1" t="s">
        <v>48</v>
      </c>
      <c r="O1" s="22" t="s">
        <v>49</v>
      </c>
      <c r="P1" s="22" t="s">
        <v>50</v>
      </c>
      <c r="Q1" t="s">
        <v>51</v>
      </c>
      <c r="R1" t="s">
        <v>52</v>
      </c>
      <c r="S1" s="17" t="s">
        <v>66</v>
      </c>
      <c r="T1" s="17" t="s">
        <v>67</v>
      </c>
    </row>
    <row r="2" spans="1:20" x14ac:dyDescent="0.25">
      <c r="A2">
        <v>620</v>
      </c>
      <c r="B2" s="44" t="s">
        <v>37</v>
      </c>
      <c r="C2" s="55">
        <v>3.3214719692628299E-2</v>
      </c>
      <c r="D2" s="56">
        <v>618.56807271012997</v>
      </c>
      <c r="E2" s="55">
        <v>0.42821318552191601</v>
      </c>
      <c r="F2" s="56">
        <v>618.56807271012997</v>
      </c>
      <c r="G2" t="s">
        <v>94</v>
      </c>
      <c r="H2" s="9">
        <v>0.88044472617695901</v>
      </c>
      <c r="I2" s="1">
        <v>0.12732812851099101</v>
      </c>
      <c r="J2" s="1">
        <v>3833.4849635732699</v>
      </c>
      <c r="K2" s="64">
        <v>297.34751945062402</v>
      </c>
      <c r="L2" s="32">
        <f t="shared" ref="L2:L10" si="0">J2/N$14</f>
        <v>56792369.830715105</v>
      </c>
      <c r="M2" s="23">
        <f>K2/N$15</f>
        <v>164280.3974865326</v>
      </c>
      <c r="N2" s="23">
        <f>I2/(N$14*C2+N$15*E2)*1000</f>
        <v>163806.56258068321</v>
      </c>
      <c r="O2" s="24"/>
      <c r="P2" s="24">
        <f>N2*N15</f>
        <v>296.48987827103662</v>
      </c>
      <c r="Q2" s="9"/>
      <c r="R2" s="9">
        <f>N2*E2*N15/1000</f>
        <v>0.12696087524944569</v>
      </c>
      <c r="S2" s="2">
        <f>I2*2.2*$B$25/(224*$B$23*$B$22)/4</f>
        <v>899.14942228086102</v>
      </c>
      <c r="T2" s="2">
        <f>(P2)*$B$28/4</f>
        <v>935.57396495973558</v>
      </c>
    </row>
    <row r="3" spans="1:20" x14ac:dyDescent="0.25">
      <c r="A3">
        <v>632</v>
      </c>
      <c r="B3" s="44" t="s">
        <v>38</v>
      </c>
      <c r="C3" s="55">
        <v>0.10388872078368</v>
      </c>
      <c r="D3" s="56">
        <v>630.87519017272996</v>
      </c>
      <c r="E3" s="55">
        <v>1.8731439891883001E-2</v>
      </c>
      <c r="F3" s="56">
        <v>630.87519017272996</v>
      </c>
      <c r="G3" t="s">
        <v>95</v>
      </c>
      <c r="H3" s="1">
        <v>0.99281966131418398</v>
      </c>
      <c r="I3" s="1">
        <v>7.2062413855533197E-3</v>
      </c>
      <c r="J3" s="1">
        <v>69.365002583469106</v>
      </c>
      <c r="K3" s="1">
        <v>384.71369137382902</v>
      </c>
      <c r="L3" s="32">
        <f t="shared" si="0"/>
        <v>1027629.667903246</v>
      </c>
      <c r="M3" s="25">
        <f t="shared" ref="M3:M10" si="1">K3/N$15</f>
        <v>212549.00075902155</v>
      </c>
      <c r="N3" s="25"/>
      <c r="O3" s="26"/>
      <c r="P3" s="24"/>
      <c r="Q3" s="9"/>
      <c r="R3" s="1"/>
    </row>
    <row r="4" spans="1:20" x14ac:dyDescent="0.25">
      <c r="A4">
        <v>647</v>
      </c>
      <c r="B4" s="44" t="s">
        <v>39</v>
      </c>
      <c r="C4" s="55">
        <v>2.9643695417013101</v>
      </c>
      <c r="D4" s="56">
        <v>646.63311578422599</v>
      </c>
      <c r="E4" s="55">
        <v>2.7918658202382499E-2</v>
      </c>
      <c r="F4" s="56">
        <v>646.63311578422599</v>
      </c>
      <c r="G4" t="s">
        <v>96</v>
      </c>
      <c r="H4" s="9">
        <v>0.959648622713281</v>
      </c>
      <c r="I4" s="1">
        <v>4.1188079528194303E-2</v>
      </c>
      <c r="J4" s="64">
        <v>13.8943808957622</v>
      </c>
      <c r="K4" s="1">
        <v>1475.2886485310901</v>
      </c>
      <c r="L4" s="33">
        <f>J4/N$14</f>
        <v>205842.67993721779</v>
      </c>
      <c r="M4" s="25">
        <f t="shared" si="1"/>
        <v>815076.60139839235</v>
      </c>
      <c r="N4" s="23">
        <f>I4/(N$14*C4+N$15*E4)*1000</f>
        <v>164339.68390377707</v>
      </c>
      <c r="O4" s="24">
        <f>N4*N14</f>
        <v>11.092928663504953</v>
      </c>
      <c r="P4" s="24"/>
      <c r="Q4" s="9">
        <f>N4*C4*N14/1000</f>
        <v>3.2883539858359498E-2</v>
      </c>
      <c r="R4" s="1"/>
    </row>
    <row r="5" spans="1:20" x14ac:dyDescent="0.25">
      <c r="A5">
        <v>656</v>
      </c>
      <c r="B5" s="44" t="s">
        <v>40</v>
      </c>
      <c r="C5" s="55">
        <v>0.45815272273296798</v>
      </c>
      <c r="D5" s="56">
        <v>657.28431530743296</v>
      </c>
      <c r="E5" s="55">
        <v>7.9544943497809301E-2</v>
      </c>
      <c r="F5" s="56">
        <v>657.28431530743296</v>
      </c>
      <c r="G5" t="s">
        <v>95</v>
      </c>
      <c r="H5" s="1">
        <v>0.99548066889085396</v>
      </c>
      <c r="I5" s="1">
        <v>4.5295741587883199E-3</v>
      </c>
      <c r="J5" s="1">
        <v>9.8866031653561794</v>
      </c>
      <c r="K5" s="1">
        <v>56.943583835886002</v>
      </c>
      <c r="L5" s="32">
        <f t="shared" si="0"/>
        <v>146468.19504231378</v>
      </c>
      <c r="M5" s="25">
        <f t="shared" si="1"/>
        <v>31460.543555738124</v>
      </c>
      <c r="N5" s="25">
        <f>I5/(N$14*C5+N$15*E5)*1000</f>
        <v>25897.834526150644</v>
      </c>
      <c r="O5" s="26">
        <f>N5*N$14</f>
        <v>1.7481038305151684</v>
      </c>
      <c r="P5" s="26">
        <f>N5*N$15</f>
        <v>46.875080492332664</v>
      </c>
      <c r="Q5" s="9"/>
      <c r="R5" s="1"/>
    </row>
    <row r="6" spans="1:20" x14ac:dyDescent="0.25">
      <c r="A6">
        <v>658</v>
      </c>
      <c r="B6" s="44" t="s">
        <v>41</v>
      </c>
      <c r="C6" s="55">
        <v>0.25239495249029098</v>
      </c>
      <c r="D6" s="56">
        <v>657.38073894421098</v>
      </c>
      <c r="E6" s="55">
        <v>8.1309871930781999E-2</v>
      </c>
      <c r="F6" s="56">
        <v>657.38073894421098</v>
      </c>
      <c r="G6" t="s">
        <v>95</v>
      </c>
      <c r="H6" s="1">
        <v>1.0010282871801399</v>
      </c>
      <c r="I6" s="1">
        <v>-1.0277588550326501E-3</v>
      </c>
      <c r="J6" s="1">
        <v>-4.0720261831392497</v>
      </c>
      <c r="K6" s="1">
        <v>-12.6400255052371</v>
      </c>
      <c r="L6" s="32">
        <f t="shared" si="0"/>
        <v>-60326.313824285178</v>
      </c>
      <c r="M6" s="25">
        <f t="shared" si="1"/>
        <v>-6983.439505655856</v>
      </c>
      <c r="N6" s="23"/>
      <c r="O6" s="25"/>
      <c r="P6" s="23"/>
      <c r="Q6" s="9"/>
      <c r="R6" s="1"/>
    </row>
    <row r="7" spans="1:20" x14ac:dyDescent="0.25">
      <c r="A7">
        <v>672</v>
      </c>
      <c r="B7" s="49" t="s">
        <v>42</v>
      </c>
      <c r="C7" s="57">
        <v>3.0582468583102901E-2</v>
      </c>
      <c r="D7" s="58">
        <v>672.98148846381196</v>
      </c>
      <c r="E7" s="57">
        <v>6.3640925559714706E-2</v>
      </c>
      <c r="F7" s="58">
        <v>672.98148846381196</v>
      </c>
      <c r="G7" s="11" t="s">
        <v>95</v>
      </c>
      <c r="H7" s="1">
        <v>0.98908766403637904</v>
      </c>
      <c r="I7" s="1">
        <v>1.0972312221527799E-2</v>
      </c>
      <c r="J7" s="1">
        <v>358.77784658593902</v>
      </c>
      <c r="K7" s="1">
        <v>172.409689598753</v>
      </c>
      <c r="L7" s="32">
        <f t="shared" si="0"/>
        <v>5315227.3568287259</v>
      </c>
      <c r="M7" s="25">
        <f t="shared" si="1"/>
        <v>95253.972154007191</v>
      </c>
      <c r="N7" s="23"/>
      <c r="O7" s="25"/>
      <c r="P7" s="23"/>
      <c r="Q7" s="9"/>
      <c r="R7" s="1"/>
    </row>
    <row r="8" spans="1:20" x14ac:dyDescent="0.25">
      <c r="A8">
        <v>730</v>
      </c>
      <c r="B8" s="44" t="s">
        <v>43</v>
      </c>
      <c r="C8" s="55">
        <v>1.75022992484933</v>
      </c>
      <c r="D8" s="56">
        <v>729.376998207974</v>
      </c>
      <c r="E8" s="55">
        <v>2.5024397718246401</v>
      </c>
      <c r="F8" s="56">
        <v>729.376998207974</v>
      </c>
      <c r="G8" t="s">
        <v>94</v>
      </c>
      <c r="H8" s="1">
        <v>0.56598797182724003</v>
      </c>
      <c r="I8" s="1">
        <v>0.56918245219338404</v>
      </c>
      <c r="J8" s="1">
        <v>325.20438835622201</v>
      </c>
      <c r="K8" s="1">
        <v>227.45100945161499</v>
      </c>
      <c r="L8" s="32">
        <f t="shared" si="0"/>
        <v>4817842.7904625479</v>
      </c>
      <c r="M8" s="23">
        <f t="shared" si="1"/>
        <v>125663.54113348895</v>
      </c>
      <c r="N8" s="25">
        <f>I8/(N$14*C8+N$15*E8)*1000</f>
        <v>122469.18382695969</v>
      </c>
      <c r="O8" s="26">
        <f>N8*N$14</f>
        <v>8.2666699083197788</v>
      </c>
      <c r="P8" s="26">
        <f>N8*N$15</f>
        <v>221.66922272679705</v>
      </c>
      <c r="Q8" s="9"/>
      <c r="R8" s="9"/>
    </row>
    <row r="9" spans="1:20" x14ac:dyDescent="0.25">
      <c r="A9">
        <v>889</v>
      </c>
      <c r="B9" s="44" t="s">
        <v>44</v>
      </c>
      <c r="C9" s="55">
        <v>15.306579647424901</v>
      </c>
      <c r="D9" s="56">
        <v>889.91178756071997</v>
      </c>
      <c r="E9" s="55">
        <v>27.131714837508401</v>
      </c>
      <c r="F9" s="56">
        <v>889.91178756071997</v>
      </c>
      <c r="G9" t="s">
        <v>94</v>
      </c>
      <c r="H9" s="1">
        <v>9.0490058740224394E-2</v>
      </c>
      <c r="I9" s="1">
        <v>2.4025152824843201</v>
      </c>
      <c r="J9" s="1">
        <v>156.959643357586</v>
      </c>
      <c r="K9" s="1">
        <v>88.550071267996103</v>
      </c>
      <c r="L9" s="32">
        <f t="shared" si="0"/>
        <v>2325328.0497420146</v>
      </c>
      <c r="M9" s="25">
        <f t="shared" si="1"/>
        <v>48922.691308285139</v>
      </c>
      <c r="N9" s="23"/>
      <c r="O9" s="25"/>
      <c r="P9" s="25"/>
      <c r="Q9" s="9"/>
      <c r="R9" s="1"/>
    </row>
    <row r="10" spans="1:20" x14ac:dyDescent="0.25">
      <c r="A10">
        <v>940</v>
      </c>
      <c r="B10" s="44" t="s">
        <v>45</v>
      </c>
      <c r="C10" s="55">
        <v>7.2667015255243497</v>
      </c>
      <c r="D10" s="56">
        <v>940.555792006621</v>
      </c>
      <c r="E10" s="55">
        <v>4.6336258468340601E-2</v>
      </c>
      <c r="F10" s="56">
        <v>940.555792006621</v>
      </c>
      <c r="G10" t="s">
        <v>95</v>
      </c>
      <c r="H10" s="1">
        <v>0.971665926935116</v>
      </c>
      <c r="I10" s="1">
        <v>2.87432301677111E-2</v>
      </c>
      <c r="J10" s="1">
        <v>3.9554714152976098</v>
      </c>
      <c r="K10" s="1">
        <v>620.31832344318502</v>
      </c>
      <c r="L10" s="32">
        <f t="shared" si="0"/>
        <v>58599.576522927549</v>
      </c>
      <c r="M10" s="25">
        <f t="shared" si="1"/>
        <v>342717.30576971546</v>
      </c>
      <c r="N10" s="25"/>
      <c r="O10" s="26"/>
      <c r="P10" s="26"/>
      <c r="Q10" s="9"/>
      <c r="R10" s="9"/>
    </row>
    <row r="11" spans="1:20" x14ac:dyDescent="0.25">
      <c r="L11" s="27"/>
      <c r="M11" s="27" t="s">
        <v>1</v>
      </c>
      <c r="N11" s="27"/>
      <c r="O11" s="27"/>
      <c r="P11" s="27"/>
    </row>
    <row r="12" spans="1:20" x14ac:dyDescent="0.25">
      <c r="L12" s="27"/>
      <c r="M12" s="27" t="s">
        <v>0</v>
      </c>
      <c r="N12" s="27"/>
      <c r="O12" s="27"/>
      <c r="P12" s="27"/>
    </row>
    <row r="13" spans="1:20" x14ac:dyDescent="0.25">
      <c r="N13" s="27"/>
      <c r="O13" s="27"/>
      <c r="P13" s="27"/>
    </row>
    <row r="14" spans="1:20" x14ac:dyDescent="0.25">
      <c r="N14" s="23">
        <v>6.7500000000000001E-5</v>
      </c>
      <c r="O14" s="23"/>
      <c r="P14" s="23"/>
      <c r="Q14" s="8"/>
    </row>
    <row r="15" spans="1:20" x14ac:dyDescent="0.25">
      <c r="N15" s="23">
        <v>1.81E-3</v>
      </c>
      <c r="O15" s="23"/>
      <c r="P15" s="23"/>
      <c r="Q15" s="2"/>
      <c r="R15" s="2"/>
    </row>
    <row r="17" spans="1:16" x14ac:dyDescent="0.25">
      <c r="J17" s="28" t="s">
        <v>53</v>
      </c>
      <c r="K17" s="1">
        <f>J4/K2</f>
        <v>4.6727751156065818E-2</v>
      </c>
      <c r="O17" s="28" t="s">
        <v>53</v>
      </c>
      <c r="P17" s="1">
        <f>O4/P2</f>
        <v>3.7414190083630235E-2</v>
      </c>
    </row>
    <row r="18" spans="1:16" x14ac:dyDescent="0.25">
      <c r="J18" s="28" t="s">
        <v>54</v>
      </c>
      <c r="K18" s="2">
        <f>$N$15*K17</f>
        <v>8.457722959247913E-5</v>
      </c>
      <c r="O18" s="28" t="s">
        <v>54</v>
      </c>
      <c r="P18" s="2">
        <f>$N$15*P17</f>
        <v>6.771968405137073E-5</v>
      </c>
    </row>
    <row r="21" spans="1:16" ht="17.25" x14ac:dyDescent="0.25">
      <c r="A21" t="s">
        <v>7</v>
      </c>
      <c r="B21">
        <v>2.964</v>
      </c>
      <c r="C21" t="s">
        <v>8</v>
      </c>
      <c r="G21" t="s">
        <v>7</v>
      </c>
    </row>
    <row r="22" spans="1:16" ht="17.25" x14ac:dyDescent="0.25">
      <c r="A22" t="s">
        <v>6</v>
      </c>
      <c r="B22">
        <v>0.42799999999999999</v>
      </c>
      <c r="C22" t="s">
        <v>8</v>
      </c>
      <c r="G22" t="s">
        <v>6</v>
      </c>
    </row>
    <row r="23" spans="1:16" x14ac:dyDescent="0.25">
      <c r="A23" t="s">
        <v>5</v>
      </c>
      <c r="B23" s="31">
        <v>1.81E-3</v>
      </c>
      <c r="G23" t="s">
        <v>5</v>
      </c>
    </row>
    <row r="24" spans="1:16" x14ac:dyDescent="0.25">
      <c r="A24" t="s">
        <v>9</v>
      </c>
      <c r="B24" s="2">
        <v>2.6899999999999998E+24</v>
      </c>
      <c r="C24" t="s">
        <v>10</v>
      </c>
      <c r="G24" t="s">
        <v>9</v>
      </c>
    </row>
    <row r="25" spans="1:16" x14ac:dyDescent="0.25">
      <c r="A25" t="s">
        <v>11</v>
      </c>
      <c r="B25">
        <v>2228</v>
      </c>
      <c r="C25" t="s">
        <v>12</v>
      </c>
      <c r="G25" t="s">
        <v>11</v>
      </c>
    </row>
    <row r="26" spans="1:16" x14ac:dyDescent="0.25">
      <c r="A26" t="s">
        <v>13</v>
      </c>
      <c r="B26" s="2">
        <v>3.8499999999999998E-24</v>
      </c>
      <c r="C26" s="2"/>
      <c r="G26" t="s">
        <v>13</v>
      </c>
    </row>
    <row r="27" spans="1:16" x14ac:dyDescent="0.25">
      <c r="A27" t="s">
        <v>14</v>
      </c>
      <c r="B27" s="2">
        <v>1010000</v>
      </c>
      <c r="C27" t="s">
        <v>15</v>
      </c>
      <c r="G27" t="s">
        <v>14</v>
      </c>
    </row>
    <row r="28" spans="1:16" x14ac:dyDescent="0.25">
      <c r="A28" t="s">
        <v>17</v>
      </c>
      <c r="B28" s="2">
        <f>B24*B25*B26/(B23*B27)</f>
        <v>12.622002078660904</v>
      </c>
      <c r="C28" t="s">
        <v>16</v>
      </c>
      <c r="G28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D906-DECF-495E-B648-BA86F65A43A8}">
  <dimension ref="A1:T28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5" x14ac:dyDescent="0.25"/>
  <cols>
    <col min="3" max="3" width="8.85546875" bestFit="1" customWidth="1"/>
    <col min="4" max="4" width="9.42578125" bestFit="1" customWidth="1"/>
    <col min="5" max="5" width="8.85546875" bestFit="1" customWidth="1"/>
    <col min="6" max="6" width="9.42578125" bestFit="1" customWidth="1"/>
    <col min="7" max="7" width="14.85546875" customWidth="1"/>
    <col min="8" max="9" width="8.85546875" bestFit="1" customWidth="1"/>
    <col min="10" max="11" width="10.42578125" bestFit="1" customWidth="1"/>
    <col min="12" max="17" width="11" customWidth="1"/>
    <col min="18" max="18" width="9.28515625" customWidth="1"/>
  </cols>
  <sheetData>
    <row r="1" spans="1:20" ht="4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s="54" t="s">
        <v>97</v>
      </c>
      <c r="H1" t="s">
        <v>33</v>
      </c>
      <c r="I1" t="s">
        <v>34</v>
      </c>
      <c r="J1" t="s">
        <v>35</v>
      </c>
      <c r="K1" t="s">
        <v>36</v>
      </c>
      <c r="L1" t="s">
        <v>46</v>
      </c>
      <c r="M1" t="s">
        <v>47</v>
      </c>
      <c r="N1" t="s">
        <v>48</v>
      </c>
      <c r="O1" s="22" t="s">
        <v>49</v>
      </c>
      <c r="P1" s="22" t="s">
        <v>50</v>
      </c>
      <c r="Q1" t="s">
        <v>51</v>
      </c>
      <c r="R1" t="s">
        <v>52</v>
      </c>
      <c r="S1" s="17" t="s">
        <v>66</v>
      </c>
      <c r="T1" s="17" t="s">
        <v>67</v>
      </c>
    </row>
    <row r="2" spans="1:20" x14ac:dyDescent="0.25">
      <c r="A2">
        <v>620</v>
      </c>
      <c r="B2" t="s">
        <v>37</v>
      </c>
      <c r="C2" s="1">
        <v>3.3214719692628299E-2</v>
      </c>
      <c r="D2" s="1">
        <v>618.56807271012997</v>
      </c>
      <c r="E2" s="1">
        <v>0.42821318552191601</v>
      </c>
      <c r="F2" s="1">
        <v>618.56807271012997</v>
      </c>
      <c r="G2" t="s">
        <v>94</v>
      </c>
      <c r="H2" s="9">
        <v>0.87752920200100104</v>
      </c>
      <c r="I2" s="1">
        <v>0.13064504556221701</v>
      </c>
      <c r="J2" s="1">
        <v>3933.3478280478398</v>
      </c>
      <c r="K2" s="64">
        <v>305.09346741152802</v>
      </c>
      <c r="L2" s="32">
        <f t="shared" ref="L2:L10" si="0">J2/N$14</f>
        <v>36419887.296739258</v>
      </c>
      <c r="M2" s="23">
        <f>K2/N$15</f>
        <v>168559.92674670057</v>
      </c>
      <c r="N2" s="23">
        <f>I2/(N$14*C2+N$15*E2)*1000</f>
        <v>167783.38521348601</v>
      </c>
      <c r="O2" s="24"/>
      <c r="P2" s="24">
        <f>N2*N$15</f>
        <v>303.68792723640968</v>
      </c>
      <c r="Q2" s="9"/>
      <c r="R2" s="9">
        <f>N2*E2*N15/1000</f>
        <v>0.13004317472645083</v>
      </c>
      <c r="S2" s="2">
        <f>I2*2.2*$B$25/(224*$B$23*$B$22)/4</f>
        <v>922.57240104635787</v>
      </c>
      <c r="T2" s="2">
        <f>(P2)*$B$28/4</f>
        <v>958.28741221054611</v>
      </c>
    </row>
    <row r="3" spans="1:20" x14ac:dyDescent="0.25">
      <c r="A3">
        <v>632</v>
      </c>
      <c r="B3" t="s">
        <v>38</v>
      </c>
      <c r="C3" s="1">
        <v>0.10388872078368</v>
      </c>
      <c r="D3" s="1">
        <v>630.87519017272996</v>
      </c>
      <c r="E3" s="1">
        <v>1.8731439891883001E-2</v>
      </c>
      <c r="F3" s="1">
        <v>630.87519017272996</v>
      </c>
      <c r="G3" t="s">
        <v>95</v>
      </c>
      <c r="H3" s="1">
        <v>0.99264752022876701</v>
      </c>
      <c r="I3" s="1">
        <v>7.3796424746759596E-3</v>
      </c>
      <c r="J3" s="1">
        <v>71.034106676912501</v>
      </c>
      <c r="K3" s="1">
        <v>393.97091292879202</v>
      </c>
      <c r="L3" s="32">
        <f t="shared" si="0"/>
        <v>657723.20997141208</v>
      </c>
      <c r="M3" s="25">
        <f t="shared" ref="M3:M10" si="1">K3/N$15</f>
        <v>217663.48780596245</v>
      </c>
      <c r="N3" s="25"/>
      <c r="O3" s="26"/>
      <c r="P3" s="24"/>
      <c r="Q3" s="9"/>
      <c r="R3" s="1"/>
    </row>
    <row r="4" spans="1:20" x14ac:dyDescent="0.25">
      <c r="A4">
        <v>647</v>
      </c>
      <c r="B4" t="s">
        <v>39</v>
      </c>
      <c r="C4" s="1">
        <v>2.9643695417013101</v>
      </c>
      <c r="D4" s="1">
        <v>646.63311578422599</v>
      </c>
      <c r="E4" s="1">
        <v>2.7918658202382499E-2</v>
      </c>
      <c r="F4" s="1">
        <v>646.63311578422599</v>
      </c>
      <c r="G4" t="s">
        <v>96</v>
      </c>
      <c r="H4" s="9">
        <v>0.93961317715009796</v>
      </c>
      <c r="I4" s="1">
        <v>6.2287002083181699E-2</v>
      </c>
      <c r="J4" s="64">
        <v>21.011888432585199</v>
      </c>
      <c r="K4" s="1">
        <v>2231.0170364085102</v>
      </c>
      <c r="L4" s="33">
        <f>J4/N$14</f>
        <v>194554.52252393702</v>
      </c>
      <c r="M4" s="25">
        <f t="shared" si="1"/>
        <v>1232606.0974632653</v>
      </c>
      <c r="N4" s="23">
        <f>I4/(N$14*C4+N$15*E4)*1000</f>
        <v>168032.30652076824</v>
      </c>
      <c r="O4" s="24">
        <f>N4*N$14</f>
        <v>18.147489104242968</v>
      </c>
      <c r="P4" s="24"/>
      <c r="Q4" s="9">
        <f>N4*C4*N14/1000</f>
        <v>5.3795863958974247E-2</v>
      </c>
      <c r="R4" s="1"/>
    </row>
    <row r="5" spans="1:20" x14ac:dyDescent="0.25">
      <c r="A5">
        <v>656</v>
      </c>
      <c r="B5" t="s">
        <v>40</v>
      </c>
      <c r="C5" s="1">
        <v>0.45815272273296798</v>
      </c>
      <c r="D5" s="1">
        <v>657.28431530743296</v>
      </c>
      <c r="E5" s="1">
        <v>7.9544943497809301E-2</v>
      </c>
      <c r="F5" s="1">
        <v>657.28431530743296</v>
      </c>
      <c r="G5" t="s">
        <v>95</v>
      </c>
      <c r="H5" s="1">
        <v>0.96346228359668695</v>
      </c>
      <c r="I5" s="1">
        <v>3.7221937097139397E-2</v>
      </c>
      <c r="J5" s="1">
        <v>81.243513898822897</v>
      </c>
      <c r="K5" s="1">
        <v>467.93592980758802</v>
      </c>
      <c r="L5" s="32">
        <f t="shared" si="0"/>
        <v>752254.75832243427</v>
      </c>
      <c r="M5" s="25">
        <f t="shared" si="1"/>
        <v>258528.138015242</v>
      </c>
      <c r="N5" s="25">
        <f>I5/(N$14*C5+N$15*E5)*1000</f>
        <v>192404.34586581506</v>
      </c>
      <c r="O5" s="26">
        <f>N5*N$14</f>
        <v>20.779669353508027</v>
      </c>
      <c r="P5" s="26">
        <f>N5*N$15</f>
        <v>348.25186601712528</v>
      </c>
      <c r="Q5" s="9"/>
      <c r="R5" s="1"/>
    </row>
    <row r="6" spans="1:20" x14ac:dyDescent="0.25">
      <c r="A6">
        <v>658</v>
      </c>
      <c r="B6" t="s">
        <v>41</v>
      </c>
      <c r="C6" s="1">
        <v>0.25239495249029098</v>
      </c>
      <c r="D6" s="1">
        <v>657.38073894421098</v>
      </c>
      <c r="E6" s="1">
        <v>8.1309871930781999E-2</v>
      </c>
      <c r="F6" s="1">
        <v>657.38073894421098</v>
      </c>
      <c r="G6" t="s">
        <v>95</v>
      </c>
      <c r="H6" s="1">
        <v>0.96734603162176203</v>
      </c>
      <c r="I6" s="1">
        <v>3.3199007185006901E-2</v>
      </c>
      <c r="J6" s="1">
        <v>131.535939437156</v>
      </c>
      <c r="K6" s="1">
        <v>408.30229339518201</v>
      </c>
      <c r="L6" s="32">
        <f t="shared" si="0"/>
        <v>1217925.365158852</v>
      </c>
      <c r="M6" s="25">
        <f t="shared" si="1"/>
        <v>225581.37756639891</v>
      </c>
      <c r="N6" s="25"/>
      <c r="O6" s="25"/>
      <c r="P6" s="23"/>
      <c r="Q6" s="9"/>
      <c r="R6" s="1"/>
    </row>
    <row r="7" spans="1:20" x14ac:dyDescent="0.25">
      <c r="A7">
        <v>672</v>
      </c>
      <c r="B7" t="s">
        <v>42</v>
      </c>
      <c r="C7" s="1">
        <v>3.0582468583102901E-2</v>
      </c>
      <c r="D7" s="1">
        <v>672.98148846381196</v>
      </c>
      <c r="E7" s="1">
        <v>6.3640925559714706E-2</v>
      </c>
      <c r="F7" s="1">
        <v>672.98148846381196</v>
      </c>
      <c r="G7" s="11" t="s">
        <v>95</v>
      </c>
      <c r="H7" s="1">
        <v>0.97679037707128202</v>
      </c>
      <c r="I7" s="1">
        <v>2.3483207717294799E-2</v>
      </c>
      <c r="J7" s="1">
        <v>767.86501565375397</v>
      </c>
      <c r="K7" s="1">
        <v>368.99538325004897</v>
      </c>
      <c r="L7" s="32">
        <f t="shared" si="0"/>
        <v>7109861.2560532782</v>
      </c>
      <c r="M7" s="25">
        <f t="shared" si="1"/>
        <v>203864.85262433646</v>
      </c>
      <c r="N7" s="25"/>
      <c r="O7" s="25"/>
      <c r="P7" s="23"/>
      <c r="Q7" s="9"/>
      <c r="R7" s="1"/>
    </row>
    <row r="8" spans="1:20" x14ac:dyDescent="0.25">
      <c r="A8">
        <v>730</v>
      </c>
      <c r="B8" t="s">
        <v>43</v>
      </c>
      <c r="C8" s="1">
        <v>1.75022992484933</v>
      </c>
      <c r="D8" s="1">
        <v>729.376998207974</v>
      </c>
      <c r="E8" s="1">
        <v>2.5024397718246401</v>
      </c>
      <c r="F8" s="1">
        <v>729.376998207974</v>
      </c>
      <c r="G8" t="s">
        <v>94</v>
      </c>
      <c r="H8" s="1">
        <v>0.54980772609687001</v>
      </c>
      <c r="I8" s="1">
        <v>0.59818665079084998</v>
      </c>
      <c r="J8" s="1">
        <v>341.77603884949201</v>
      </c>
      <c r="K8" s="1">
        <v>239.04137774899701</v>
      </c>
      <c r="L8" s="32">
        <f t="shared" si="0"/>
        <v>3164592.9523101114</v>
      </c>
      <c r="M8" s="23">
        <f t="shared" si="1"/>
        <v>132067.05952983259</v>
      </c>
      <c r="N8" s="25">
        <f>I8/(N$14*C8+N$15*E8)*1000</f>
        <v>126776.33857279943</v>
      </c>
      <c r="O8" s="26">
        <f>N8*N$14</f>
        <v>13.691844565862338</v>
      </c>
      <c r="P8" s="26">
        <f>N8*N$15</f>
        <v>229.46517281676697</v>
      </c>
      <c r="Q8" s="9"/>
      <c r="R8" s="9"/>
    </row>
    <row r="9" spans="1:20" x14ac:dyDescent="0.25">
      <c r="A9">
        <v>889</v>
      </c>
      <c r="B9" t="s">
        <v>44</v>
      </c>
      <c r="C9" s="1">
        <v>15.306579647424901</v>
      </c>
      <c r="D9" s="1">
        <v>889.91178756071997</v>
      </c>
      <c r="E9" s="1">
        <v>27.131714837508401</v>
      </c>
      <c r="F9" s="1">
        <v>889.91178756071997</v>
      </c>
      <c r="G9" t="s">
        <v>94</v>
      </c>
      <c r="H9" s="1">
        <v>8.9475194194094596E-2</v>
      </c>
      <c r="I9" s="1">
        <v>2.41379385195973</v>
      </c>
      <c r="J9" s="1">
        <v>157.69648788687999</v>
      </c>
      <c r="K9" s="1">
        <v>88.965768157888803</v>
      </c>
      <c r="L9" s="32">
        <f t="shared" si="0"/>
        <v>1460152.6656192592</v>
      </c>
      <c r="M9" s="25">
        <f t="shared" si="1"/>
        <v>49152.358098281111</v>
      </c>
      <c r="N9" s="25"/>
      <c r="O9" s="25"/>
      <c r="P9" s="25"/>
      <c r="Q9" s="9"/>
      <c r="R9" s="1"/>
    </row>
    <row r="10" spans="1:20" x14ac:dyDescent="0.25">
      <c r="A10">
        <v>940</v>
      </c>
      <c r="B10" t="s">
        <v>45</v>
      </c>
      <c r="C10" s="1">
        <v>7.2667015255243497</v>
      </c>
      <c r="D10" s="1">
        <v>940.555792006621</v>
      </c>
      <c r="E10" s="1">
        <v>4.6336258468340601E-2</v>
      </c>
      <c r="F10" s="1">
        <v>940.555792006621</v>
      </c>
      <c r="G10" t="s">
        <v>95</v>
      </c>
      <c r="H10" s="1">
        <v>0.97054774427896695</v>
      </c>
      <c r="I10" s="1">
        <v>2.9894682035511301E-2</v>
      </c>
      <c r="J10" s="1">
        <v>4.1139273342253002</v>
      </c>
      <c r="K10" s="1">
        <v>645.16823376960701</v>
      </c>
      <c r="L10" s="32">
        <f t="shared" si="0"/>
        <v>38091.919761345373</v>
      </c>
      <c r="M10" s="25">
        <f t="shared" si="1"/>
        <v>356446.53799425805</v>
      </c>
      <c r="N10" s="25"/>
      <c r="O10" s="25"/>
      <c r="P10" s="25"/>
      <c r="Q10" s="9"/>
      <c r="R10" s="9"/>
    </row>
    <row r="11" spans="1:20" x14ac:dyDescent="0.25">
      <c r="L11" s="27"/>
      <c r="M11" s="27" t="s">
        <v>1</v>
      </c>
      <c r="N11" s="27"/>
      <c r="O11" s="27"/>
      <c r="P11" s="27"/>
    </row>
    <row r="12" spans="1:20" x14ac:dyDescent="0.25">
      <c r="L12" s="27"/>
      <c r="M12" s="27" t="s">
        <v>0</v>
      </c>
      <c r="N12" s="27"/>
      <c r="O12" s="27"/>
      <c r="P12" s="27"/>
    </row>
    <row r="13" spans="1:20" x14ac:dyDescent="0.25">
      <c r="N13" s="27"/>
      <c r="O13" s="27"/>
      <c r="P13" s="27"/>
    </row>
    <row r="14" spans="1:20" x14ac:dyDescent="0.25">
      <c r="N14" s="23">
        <v>1.08E-4</v>
      </c>
      <c r="O14" s="23"/>
      <c r="P14" s="23"/>
      <c r="Q14" s="8"/>
    </row>
    <row r="15" spans="1:20" x14ac:dyDescent="0.25">
      <c r="N15" s="23">
        <v>1.81E-3</v>
      </c>
      <c r="O15" s="23"/>
      <c r="P15" s="23"/>
      <c r="Q15" s="2"/>
      <c r="R15" s="2"/>
    </row>
    <row r="17" spans="1:16" x14ac:dyDescent="0.25">
      <c r="J17" s="28" t="s">
        <v>53</v>
      </c>
      <c r="K17" s="1">
        <f>J4/K2</f>
        <v>6.8870332134129658E-2</v>
      </c>
      <c r="O17" s="28" t="s">
        <v>53</v>
      </c>
      <c r="P17" s="1">
        <f>O4/P2</f>
        <v>5.9757031731181819E-2</v>
      </c>
    </row>
    <row r="18" spans="1:16" x14ac:dyDescent="0.25">
      <c r="J18" s="28" t="s">
        <v>54</v>
      </c>
      <c r="K18" s="2">
        <f>$N$15*K17</f>
        <v>1.2465530116277467E-4</v>
      </c>
      <c r="O18" s="28" t="s">
        <v>54</v>
      </c>
      <c r="P18" s="2">
        <f>$N$15*P17</f>
        <v>1.0816022743343909E-4</v>
      </c>
    </row>
    <row r="21" spans="1:16" ht="17.25" x14ac:dyDescent="0.25">
      <c r="A21" t="s">
        <v>7</v>
      </c>
      <c r="B21">
        <v>2.964</v>
      </c>
      <c r="C21" t="s">
        <v>8</v>
      </c>
    </row>
    <row r="22" spans="1:16" ht="17.25" x14ac:dyDescent="0.25">
      <c r="A22" t="s">
        <v>6</v>
      </c>
      <c r="B22">
        <v>0.42799999999999999</v>
      </c>
      <c r="C22" t="s">
        <v>8</v>
      </c>
    </row>
    <row r="23" spans="1:16" x14ac:dyDescent="0.25">
      <c r="A23" t="s">
        <v>5</v>
      </c>
      <c r="B23" s="31">
        <v>1.81E-3</v>
      </c>
    </row>
    <row r="24" spans="1:16" x14ac:dyDescent="0.25">
      <c r="A24" t="s">
        <v>9</v>
      </c>
      <c r="B24" s="2">
        <v>2.6899999999999998E+24</v>
      </c>
      <c r="C24" t="s">
        <v>10</v>
      </c>
    </row>
    <row r="25" spans="1:16" x14ac:dyDescent="0.25">
      <c r="A25" t="s">
        <v>11</v>
      </c>
      <c r="B25">
        <v>2228</v>
      </c>
      <c r="C25" t="s">
        <v>12</v>
      </c>
    </row>
    <row r="26" spans="1:16" x14ac:dyDescent="0.25">
      <c r="A26" t="s">
        <v>13</v>
      </c>
      <c r="B26" s="2">
        <v>3.8499999999999998E-24</v>
      </c>
      <c r="C26" s="2"/>
    </row>
    <row r="27" spans="1:16" x14ac:dyDescent="0.25">
      <c r="A27" t="s">
        <v>14</v>
      </c>
      <c r="B27" s="2">
        <v>1010000</v>
      </c>
      <c r="C27" t="s">
        <v>15</v>
      </c>
    </row>
    <row r="28" spans="1:16" x14ac:dyDescent="0.25">
      <c r="A28" t="s">
        <v>17</v>
      </c>
      <c r="B28" s="2">
        <f>B24*B25*B26/(B23*B27)</f>
        <v>12.622002078660904</v>
      </c>
      <c r="C2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D118-7DAB-44F9-A6C2-13C8E628D16A}">
  <dimension ref="A1:AK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4" sqref="U4"/>
    </sheetView>
  </sheetViews>
  <sheetFormatPr defaultRowHeight="15" x14ac:dyDescent="0.25"/>
  <cols>
    <col min="1" max="1" width="6.140625" customWidth="1"/>
    <col min="2" max="2" width="7.42578125" customWidth="1"/>
    <col min="3" max="5" width="6.140625" customWidth="1"/>
    <col min="6" max="8" width="7" customWidth="1"/>
    <col min="9" max="9" width="5.85546875" customWidth="1"/>
    <col min="10" max="10" width="8" customWidth="1"/>
    <col min="13" max="14" width="9.42578125" bestFit="1" customWidth="1"/>
    <col min="23" max="23" width="9.7109375" customWidth="1"/>
  </cols>
  <sheetData>
    <row r="1" spans="1:37" x14ac:dyDescent="0.25">
      <c r="C1" s="69" t="s">
        <v>55</v>
      </c>
      <c r="D1" s="69"/>
      <c r="E1" s="69"/>
      <c r="F1" s="69"/>
      <c r="G1" s="69"/>
      <c r="H1" s="69"/>
    </row>
    <row r="2" spans="1:37" s="38" customFormat="1" ht="60" x14ac:dyDescent="0.25">
      <c r="A2" s="38" t="s">
        <v>27</v>
      </c>
      <c r="B2" s="38" t="s">
        <v>28</v>
      </c>
      <c r="C2" s="39">
        <v>2020</v>
      </c>
      <c r="D2" s="39">
        <v>2021</v>
      </c>
      <c r="E2" s="39">
        <v>2022</v>
      </c>
      <c r="F2" s="39" t="s">
        <v>1</v>
      </c>
      <c r="G2" s="39" t="s">
        <v>0</v>
      </c>
      <c r="H2" s="39" t="s">
        <v>2</v>
      </c>
      <c r="I2" s="40" t="s">
        <v>34</v>
      </c>
      <c r="J2" s="40" t="s">
        <v>56</v>
      </c>
      <c r="K2" s="38" t="s">
        <v>35</v>
      </c>
      <c r="L2" s="38" t="s">
        <v>36</v>
      </c>
      <c r="M2" s="38" t="s">
        <v>46</v>
      </c>
      <c r="N2" s="38" t="s">
        <v>47</v>
      </c>
      <c r="O2" s="38" t="s">
        <v>48</v>
      </c>
      <c r="P2" s="22" t="s">
        <v>49</v>
      </c>
      <c r="Q2" s="22" t="s">
        <v>50</v>
      </c>
      <c r="R2" s="38" t="s">
        <v>51</v>
      </c>
      <c r="S2" s="38" t="s">
        <v>52</v>
      </c>
      <c r="T2" s="40" t="s">
        <v>66</v>
      </c>
      <c r="U2" s="40" t="s">
        <v>67</v>
      </c>
      <c r="V2" s="40"/>
      <c r="W2" s="40"/>
      <c r="X2" s="40"/>
      <c r="Y2" s="40"/>
      <c r="AA2" s="40"/>
      <c r="AB2" s="40"/>
      <c r="AC2" s="40"/>
      <c r="AD2" s="40"/>
    </row>
    <row r="3" spans="1:37" x14ac:dyDescent="0.25">
      <c r="A3">
        <v>620</v>
      </c>
      <c r="B3" t="s">
        <v>37</v>
      </c>
      <c r="E3">
        <v>0.93300000000000005</v>
      </c>
      <c r="F3" s="8">
        <f>AVERAGE(C3:E3)</f>
        <v>0.93300000000000005</v>
      </c>
      <c r="G3" s="1">
        <f>_xlfn.STDEV.P(C3:E3)</f>
        <v>0</v>
      </c>
      <c r="I3" s="1">
        <f>-LN(F3)</f>
        <v>6.9350078134793172E-2</v>
      </c>
      <c r="J3" s="1">
        <f>ABS((-LN(F3+H3)+LN(F3-H3))/2)</f>
        <v>0</v>
      </c>
      <c r="K3" s="1">
        <f>1000*I3/filtereffectivedataWV1!$C$4</f>
        <v>23.394545504266585</v>
      </c>
      <c r="L3" s="9">
        <f>1000*I3/filtereffectivedataWV1!$E$2</f>
        <v>161.95222491868793</v>
      </c>
      <c r="M3" s="23"/>
      <c r="N3" s="23">
        <f>L3/O$20</f>
        <v>89476.36735839113</v>
      </c>
      <c r="O3" s="23">
        <f>I3/(O$16*filtereffectivedataWV1!$C$2+O$20*filtereffectivedataWV1!$E$2)*1000</f>
        <v>89110.911603519067</v>
      </c>
      <c r="P3" s="35"/>
      <c r="Q3" s="24">
        <f>O3*O$20</f>
        <v>161.29075000236952</v>
      </c>
      <c r="R3" s="34"/>
      <c r="S3" s="9">
        <f>O3*filtereffectivedataWV2!$E$2*O$20/1000</f>
        <v>6.9066825853733638E-2</v>
      </c>
      <c r="T3" s="2">
        <f>I3*2.2*$B$25/(224*$B$23*$B$22)/4</f>
        <v>489.7274735695911</v>
      </c>
      <c r="U3" s="2">
        <f>(Q3)*$B$28/4</f>
        <v>508.95304544967104</v>
      </c>
      <c r="W3" s="2"/>
      <c r="X3" s="2"/>
      <c r="Y3" s="2"/>
      <c r="AA3" s="2"/>
      <c r="AB3" s="2"/>
      <c r="AC3" s="2"/>
      <c r="AJ3" s="3"/>
      <c r="AK3" s="3"/>
    </row>
    <row r="4" spans="1:37" x14ac:dyDescent="0.25">
      <c r="A4" s="8">
        <v>620</v>
      </c>
      <c r="B4" t="s">
        <v>37</v>
      </c>
      <c r="E4">
        <v>0.90900000000000003</v>
      </c>
      <c r="F4" s="8">
        <f>AVERAGE(C4:E4)</f>
        <v>0.90900000000000003</v>
      </c>
      <c r="G4" s="1">
        <f>_xlfn.STDEV.P(C4:E4)</f>
        <v>0</v>
      </c>
      <c r="I4" s="1">
        <f>-LN(F4)</f>
        <v>9.5410184804658182E-2</v>
      </c>
      <c r="J4" s="1">
        <f>ABS((-LN(F4+H4)+LN(F4-H4))/2)</f>
        <v>0</v>
      </c>
      <c r="K4" s="1">
        <f>1000*I4/filtereffectivedataWV1!$C$4</f>
        <v>32.185658185483987</v>
      </c>
      <c r="L4" s="9">
        <f>1000*I4/filtereffectivedataWV1!$E$2</f>
        <v>222.81001153285385</v>
      </c>
      <c r="M4" s="23"/>
      <c r="N4" s="23">
        <f>L4/O$20</f>
        <v>123099.45388555461</v>
      </c>
      <c r="O4" s="23">
        <f>I4/(O$17*filtereffectivedataWV1!$C$2+O$20*filtereffectivedataWV1!$E$2)*1000</f>
        <v>122804.74369658376</v>
      </c>
      <c r="P4" s="35"/>
      <c r="Q4" s="24">
        <f>O4*O$20</f>
        <v>222.27658609081661</v>
      </c>
      <c r="R4" s="34"/>
      <c r="S4" s="9">
        <f>O4*filtereffectivedataWV2!$E$2*O$20/1000</f>
        <v>9.5181764996884979E-2</v>
      </c>
      <c r="T4" s="2">
        <f>I4*2.2*$B$25/(224*$B$23*$B$22)/4</f>
        <v>673.75538736056535</v>
      </c>
      <c r="U4" s="2">
        <f>(Q4)*$B$28/4</f>
        <v>701.3938829189841</v>
      </c>
      <c r="W4" s="2"/>
      <c r="X4" s="2"/>
      <c r="Y4" s="2"/>
      <c r="AA4" s="2"/>
      <c r="AB4" s="2"/>
      <c r="AC4" s="2"/>
    </row>
    <row r="5" spans="1:37" x14ac:dyDescent="0.25">
      <c r="A5">
        <v>632</v>
      </c>
      <c r="B5" t="s">
        <v>38</v>
      </c>
      <c r="F5" s="8"/>
      <c r="G5" s="1"/>
      <c r="M5" s="25"/>
      <c r="N5" s="25"/>
      <c r="O5" s="23"/>
      <c r="P5" s="27"/>
      <c r="Q5" s="27"/>
      <c r="R5" s="19"/>
      <c r="S5" s="1"/>
    </row>
    <row r="6" spans="1:37" x14ac:dyDescent="0.25">
      <c r="A6">
        <v>647</v>
      </c>
      <c r="B6" t="s">
        <v>39</v>
      </c>
      <c r="C6">
        <v>0.97499999999999998</v>
      </c>
      <c r="D6">
        <v>0.96699999999999997</v>
      </c>
      <c r="E6">
        <v>0.97</v>
      </c>
      <c r="F6" s="9">
        <f>AVERAGE(C6:E6)</f>
        <v>0.97066666666666668</v>
      </c>
      <c r="G6" s="1">
        <f>_xlfn.STDEV.P(C6:E6)</f>
        <v>3.2998316455372248E-3</v>
      </c>
      <c r="H6" s="19">
        <f>G6/SQRT(COUNT(C6:E6))</f>
        <v>1.9051586888313627E-3</v>
      </c>
      <c r="I6" s="1">
        <f>-LN(F6)</f>
        <v>2.9772158333670144E-2</v>
      </c>
      <c r="J6" s="1">
        <f>ABS((-LN(F6+H6)+LN(F6-H6))/2)</f>
        <v>1.9627346860533156E-3</v>
      </c>
      <c r="K6" s="9">
        <f>1000*I6/filtereffectivedataWV1!$C$4</f>
        <v>10.043335662052215</v>
      </c>
      <c r="L6" s="1">
        <f>1000*I6/filtereffectivedataWV1!$E$2</f>
        <v>69.526486666642825</v>
      </c>
      <c r="M6" s="25">
        <f>K6/O$16</f>
        <v>104946.0361760942</v>
      </c>
      <c r="N6" s="25"/>
      <c r="O6" s="23">
        <f>I6/(O$16*filtereffectivedataWV1!$C$4+O$20*filtereffectivedataWV1!$E$4)*1000</f>
        <v>89078.740814716017</v>
      </c>
      <c r="P6" s="24">
        <f>O6*O$16</f>
        <v>8.5248354959683219</v>
      </c>
      <c r="Q6" s="36"/>
      <c r="R6" s="34">
        <f>O6*filtereffectivedataWV2!$C$4*O$16/1000</f>
        <v>2.527076269226268E-2</v>
      </c>
      <c r="S6" s="1"/>
      <c r="T6" s="1"/>
      <c r="U6" s="1"/>
      <c r="V6" s="18"/>
      <c r="W6" s="10"/>
      <c r="X6" s="10"/>
      <c r="Y6" s="10"/>
      <c r="Z6" s="10"/>
      <c r="AA6" s="10"/>
      <c r="AB6" s="10"/>
      <c r="AC6" s="10"/>
    </row>
    <row r="7" spans="1:37" x14ac:dyDescent="0.25">
      <c r="A7" s="8">
        <v>647</v>
      </c>
      <c r="B7" t="s">
        <v>39</v>
      </c>
      <c r="C7">
        <v>0.97599999999999998</v>
      </c>
      <c r="D7">
        <v>0.97199999999999998</v>
      </c>
      <c r="E7">
        <v>0.97299999999999998</v>
      </c>
      <c r="F7" s="9">
        <f>AVERAGE(C7:E7)</f>
        <v>0.97366666666666657</v>
      </c>
      <c r="G7" s="1">
        <f>_xlfn.STDEV.P(C7:E7)</f>
        <v>1.6996731711975963E-3</v>
      </c>
      <c r="H7" s="19">
        <f>G7/SQRT(COUNT(C7:E7))</f>
        <v>9.8130676292531725E-4</v>
      </c>
      <c r="I7" s="1">
        <f>-LN(F7)</f>
        <v>2.6686265262505879E-2</v>
      </c>
      <c r="J7" s="1">
        <f>ABS((-LN(F7+H7)+LN(F7-H7))/2)</f>
        <v>1.0078470679711609E-3</v>
      </c>
      <c r="K7" s="9">
        <f>1000*I7/filtereffectivedataWV1!$C$4</f>
        <v>9.0023409318900587</v>
      </c>
      <c r="L7" s="1">
        <f>1000*I7/filtereffectivedataWV1!$E$2</f>
        <v>62.320045633298392</v>
      </c>
      <c r="M7" s="25">
        <f>K7/O$16</f>
        <v>94068.348295611897</v>
      </c>
      <c r="N7" s="25"/>
      <c r="O7" s="23">
        <f>I7/(O$17*filtereffectivedataWV1!$C$4+O$20*filtereffectivedataWV1!$E$4)*1000</f>
        <v>123240.86817265856</v>
      </c>
      <c r="P7" s="24">
        <f>O7*O$17</f>
        <v>6.9014886176688792</v>
      </c>
      <c r="Q7" s="36"/>
      <c r="R7" s="34">
        <f>O7*filtereffectivedataWV2!$C$4*O$17/1000</f>
        <v>2.0458562650615908E-2</v>
      </c>
      <c r="S7" s="1"/>
      <c r="T7" s="1"/>
      <c r="U7" s="1"/>
      <c r="V7" s="18"/>
      <c r="W7" s="10"/>
      <c r="X7" s="10"/>
      <c r="Y7" s="10"/>
      <c r="Z7" s="10"/>
      <c r="AA7" s="10"/>
      <c r="AB7" s="10"/>
      <c r="AC7" s="10"/>
      <c r="AH7" s="2"/>
    </row>
    <row r="8" spans="1:37" x14ac:dyDescent="0.25">
      <c r="A8">
        <v>656</v>
      </c>
      <c r="B8" t="s">
        <v>40</v>
      </c>
      <c r="C8">
        <v>0.98899999999999999</v>
      </c>
      <c r="F8">
        <f>AVERAGE(C8:E8)</f>
        <v>0.98899999999999999</v>
      </c>
      <c r="G8" s="1">
        <f>_xlfn.STDEV.P(C8:E8)</f>
        <v>0</v>
      </c>
      <c r="J8" s="10"/>
      <c r="K8" s="1">
        <f>1000*I8/filtereffectivedataWV1!$C$4</f>
        <v>0</v>
      </c>
      <c r="L8" s="1">
        <f>1000*J8/filtereffectivedataWV1!$C$4</f>
        <v>0</v>
      </c>
      <c r="M8" s="25"/>
      <c r="N8" s="25"/>
      <c r="O8" s="25"/>
      <c r="P8" s="36"/>
      <c r="Q8" s="36"/>
      <c r="R8" s="19"/>
      <c r="S8" s="1"/>
      <c r="T8" s="1"/>
      <c r="U8" s="1"/>
      <c r="V8" s="18"/>
    </row>
    <row r="9" spans="1:37" x14ac:dyDescent="0.25">
      <c r="A9">
        <v>658</v>
      </c>
      <c r="B9" t="s">
        <v>41</v>
      </c>
      <c r="G9" s="1"/>
      <c r="M9" s="27"/>
      <c r="N9" s="27"/>
      <c r="O9" s="25"/>
      <c r="P9" s="27"/>
      <c r="Q9" s="27"/>
      <c r="R9" s="19"/>
      <c r="T9" s="1"/>
      <c r="U9" s="1"/>
      <c r="V9" s="18"/>
    </row>
    <row r="10" spans="1:37" x14ac:dyDescent="0.25">
      <c r="A10">
        <v>672</v>
      </c>
      <c r="B10" t="s">
        <v>42</v>
      </c>
      <c r="G10" s="1"/>
      <c r="M10" s="27"/>
      <c r="N10" s="27"/>
      <c r="O10" s="25"/>
      <c r="P10" s="27"/>
      <c r="Q10" s="27"/>
      <c r="R10" s="19"/>
      <c r="T10" s="20"/>
      <c r="U10" s="20"/>
      <c r="V10" s="20"/>
    </row>
    <row r="11" spans="1:37" x14ac:dyDescent="0.25">
      <c r="A11">
        <v>730</v>
      </c>
      <c r="B11" t="s">
        <v>43</v>
      </c>
      <c r="G11" s="1"/>
      <c r="M11" s="27"/>
      <c r="N11" s="27"/>
      <c r="O11" s="25"/>
      <c r="P11" s="27"/>
      <c r="Q11" s="27"/>
      <c r="R11" s="19"/>
    </row>
    <row r="12" spans="1:37" x14ac:dyDescent="0.25">
      <c r="A12">
        <v>889</v>
      </c>
      <c r="B12" t="s">
        <v>44</v>
      </c>
      <c r="C12">
        <v>0.104</v>
      </c>
      <c r="D12">
        <v>0.104</v>
      </c>
      <c r="F12">
        <f>AVERAGE(C12:E12)</f>
        <v>0.104</v>
      </c>
      <c r="G12" s="1">
        <f>_xlfn.STDEV.P(C12:E12)</f>
        <v>0</v>
      </c>
      <c r="M12" s="27"/>
      <c r="N12" s="27"/>
      <c r="O12" s="27"/>
      <c r="P12" s="27"/>
      <c r="Q12" s="27"/>
    </row>
    <row r="13" spans="1:37" x14ac:dyDescent="0.25">
      <c r="A13">
        <v>940</v>
      </c>
      <c r="B13" t="s">
        <v>45</v>
      </c>
      <c r="M13" s="27"/>
      <c r="N13" s="27"/>
      <c r="O13" s="27"/>
      <c r="P13" s="27"/>
      <c r="Q13" s="27"/>
    </row>
    <row r="14" spans="1:37" x14ac:dyDescent="0.25">
      <c r="O14" s="27"/>
      <c r="P14" s="27"/>
      <c r="Q14" s="27"/>
    </row>
    <row r="15" spans="1:37" x14ac:dyDescent="0.25">
      <c r="O15" s="27"/>
      <c r="P15" s="27"/>
      <c r="Q15" s="27"/>
    </row>
    <row r="16" spans="1:37" x14ac:dyDescent="0.25">
      <c r="K16" s="28" t="s">
        <v>53</v>
      </c>
      <c r="L16" s="34">
        <f>K6/L3</f>
        <v>6.2014187622891362E-2</v>
      </c>
      <c r="N16" t="s">
        <v>58</v>
      </c>
      <c r="O16" s="23">
        <v>9.5699999999999995E-5</v>
      </c>
      <c r="P16" s="23"/>
      <c r="Q16" s="23"/>
      <c r="R16" s="37"/>
      <c r="S16" s="37"/>
    </row>
    <row r="17" spans="1:19" x14ac:dyDescent="0.25">
      <c r="K17" s="28" t="s">
        <v>54</v>
      </c>
      <c r="L17" s="2">
        <f>L16*O20</f>
        <v>1.1224567959743336E-4</v>
      </c>
      <c r="N17" t="s">
        <v>58</v>
      </c>
      <c r="O17" s="23">
        <v>5.5999999999999999E-5</v>
      </c>
      <c r="P17" s="23"/>
      <c r="Q17" s="23"/>
      <c r="R17" s="37"/>
      <c r="S17" s="37"/>
    </row>
    <row r="18" spans="1:19" x14ac:dyDescent="0.25">
      <c r="K18" s="28" t="s">
        <v>53</v>
      </c>
      <c r="L18" s="34">
        <f>K7/L4</f>
        <v>4.0403664404292904E-2</v>
      </c>
    </row>
    <row r="19" spans="1:19" x14ac:dyDescent="0.25">
      <c r="K19" s="28" t="s">
        <v>54</v>
      </c>
      <c r="L19" s="2">
        <f>L18*O20</f>
        <v>7.3130632571770152E-5</v>
      </c>
      <c r="Q19" s="28" t="s">
        <v>53</v>
      </c>
      <c r="R19" s="34">
        <f>O16/O20</f>
        <v>5.2872928176795578E-2</v>
      </c>
    </row>
    <row r="20" spans="1:19" x14ac:dyDescent="0.25">
      <c r="N20" t="s">
        <v>57</v>
      </c>
      <c r="O20" s="23">
        <v>1.81E-3</v>
      </c>
      <c r="Q20" s="28" t="s">
        <v>54</v>
      </c>
    </row>
    <row r="21" spans="1:19" ht="17.25" x14ac:dyDescent="0.25">
      <c r="A21" t="s">
        <v>7</v>
      </c>
      <c r="B21">
        <v>2.964</v>
      </c>
      <c r="C21" t="s">
        <v>8</v>
      </c>
      <c r="Q21" s="28" t="s">
        <v>53</v>
      </c>
      <c r="R21" s="2">
        <f>O17/O20</f>
        <v>3.0939226519337018E-2</v>
      </c>
    </row>
    <row r="22" spans="1:19" ht="17.25" x14ac:dyDescent="0.25">
      <c r="A22" t="s">
        <v>6</v>
      </c>
      <c r="B22">
        <v>0.42799999999999999</v>
      </c>
      <c r="C22" t="s">
        <v>8</v>
      </c>
      <c r="Q22" s="28" t="s">
        <v>54</v>
      </c>
    </row>
    <row r="23" spans="1:19" x14ac:dyDescent="0.25">
      <c r="A23" t="s">
        <v>5</v>
      </c>
      <c r="B23" s="31">
        <v>1.81E-3</v>
      </c>
    </row>
    <row r="24" spans="1:19" x14ac:dyDescent="0.25">
      <c r="A24" t="s">
        <v>9</v>
      </c>
      <c r="B24" s="30">
        <v>2.6899999999999998E+24</v>
      </c>
      <c r="C24" t="s">
        <v>10</v>
      </c>
      <c r="E24" s="10"/>
      <c r="F24" s="10"/>
    </row>
    <row r="25" spans="1:19" x14ac:dyDescent="0.25">
      <c r="A25" t="s">
        <v>11</v>
      </c>
      <c r="B25">
        <v>2228</v>
      </c>
      <c r="C25" t="s">
        <v>12</v>
      </c>
      <c r="E25" s="10"/>
      <c r="F25" s="10"/>
      <c r="L25">
        <f>10000000/620</f>
        <v>16129.032258064517</v>
      </c>
    </row>
    <row r="26" spans="1:19" x14ac:dyDescent="0.25">
      <c r="A26" t="s">
        <v>13</v>
      </c>
      <c r="B26" s="30">
        <v>3.8499999999999998E-24</v>
      </c>
      <c r="C26" s="2"/>
      <c r="E26" s="10"/>
      <c r="F26" s="10"/>
      <c r="L26">
        <v>123</v>
      </c>
    </row>
    <row r="27" spans="1:19" x14ac:dyDescent="0.25">
      <c r="A27" t="s">
        <v>14</v>
      </c>
      <c r="B27" s="29">
        <v>1010000</v>
      </c>
      <c r="C27" t="s">
        <v>15</v>
      </c>
      <c r="E27" s="10"/>
      <c r="F27" s="10"/>
      <c r="L27">
        <f>SUM(L25:L26)</f>
        <v>16252.032258064517</v>
      </c>
    </row>
    <row r="28" spans="1:19" x14ac:dyDescent="0.25">
      <c r="A28" t="s">
        <v>17</v>
      </c>
      <c r="B28" s="30">
        <f>B24*B25*B26/(B23*B27)</f>
        <v>12.622002078660904</v>
      </c>
      <c r="C28" t="s">
        <v>16</v>
      </c>
      <c r="E28" s="10"/>
      <c r="F28" s="10"/>
      <c r="L28">
        <f>10000000/L27</f>
        <v>615.30766375619521</v>
      </c>
    </row>
    <row r="29" spans="1:19" x14ac:dyDescent="0.25">
      <c r="A29" s="2"/>
      <c r="B29" s="2"/>
      <c r="C29" s="2"/>
      <c r="E29" s="10"/>
      <c r="F29" s="10"/>
      <c r="L29">
        <f>L28-620</f>
        <v>-4.6923362438047889</v>
      </c>
    </row>
  </sheetData>
  <dataConsolidate/>
  <mergeCells count="1">
    <mergeCell ref="C1:H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6059-FE2B-45FF-8400-1670E3BAB95F}">
  <dimension ref="A1:AD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25.140625" style="17" customWidth="1"/>
    <col min="13" max="13" width="2.28515625" customWidth="1"/>
  </cols>
  <sheetData>
    <row r="1" spans="1:30" x14ac:dyDescent="0.25">
      <c r="B1" s="4">
        <v>620</v>
      </c>
      <c r="C1" s="5">
        <v>620</v>
      </c>
      <c r="D1" s="4">
        <v>632</v>
      </c>
      <c r="E1" s="4">
        <v>647</v>
      </c>
      <c r="F1" s="5">
        <v>647</v>
      </c>
      <c r="G1" s="4">
        <v>656</v>
      </c>
      <c r="H1" s="4">
        <v>658</v>
      </c>
      <c r="I1" s="4">
        <v>672</v>
      </c>
      <c r="J1" s="4">
        <v>730</v>
      </c>
      <c r="K1" s="4">
        <v>889</v>
      </c>
      <c r="L1" s="6">
        <v>940</v>
      </c>
    </row>
    <row r="2" spans="1:30" ht="17.25" x14ac:dyDescent="0.25">
      <c r="A2" s="14"/>
      <c r="B2" s="4">
        <v>620</v>
      </c>
      <c r="C2" s="5">
        <v>620</v>
      </c>
      <c r="D2" s="4">
        <v>632</v>
      </c>
      <c r="E2" s="4">
        <v>647</v>
      </c>
      <c r="F2" s="5">
        <v>647</v>
      </c>
      <c r="G2" s="4">
        <v>656</v>
      </c>
      <c r="H2" s="4">
        <v>658</v>
      </c>
      <c r="I2" s="4">
        <v>672</v>
      </c>
      <c r="J2" s="4">
        <v>730</v>
      </c>
      <c r="K2" s="4">
        <v>889</v>
      </c>
      <c r="L2" s="6">
        <v>940</v>
      </c>
      <c r="N2" t="s">
        <v>7</v>
      </c>
      <c r="O2">
        <v>2.964</v>
      </c>
      <c r="P2" t="s">
        <v>8</v>
      </c>
      <c r="AC2" s="3"/>
      <c r="AD2" s="3"/>
    </row>
    <row r="3" spans="1:30" ht="17.25" x14ac:dyDescent="0.25">
      <c r="A3" s="15">
        <v>2020</v>
      </c>
      <c r="E3">
        <v>0.97499999999999998</v>
      </c>
      <c r="F3">
        <v>0.97599999999999998</v>
      </c>
      <c r="G3">
        <v>0.98899999999999999</v>
      </c>
      <c r="K3">
        <v>0.104</v>
      </c>
      <c r="L3" s="7"/>
      <c r="N3" t="s">
        <v>6</v>
      </c>
      <c r="O3">
        <v>0.42799999999999999</v>
      </c>
      <c r="P3" t="s">
        <v>8</v>
      </c>
    </row>
    <row r="4" spans="1:30" x14ac:dyDescent="0.25">
      <c r="A4" s="15">
        <v>2021</v>
      </c>
      <c r="E4">
        <v>0.96699999999999997</v>
      </c>
      <c r="F4">
        <v>0.97199999999999998</v>
      </c>
      <c r="K4">
        <v>0.104</v>
      </c>
      <c r="L4" s="7"/>
      <c r="N4" t="s">
        <v>5</v>
      </c>
      <c r="O4" s="2">
        <v>1.81E-3</v>
      </c>
    </row>
    <row r="5" spans="1:30" x14ac:dyDescent="0.25">
      <c r="A5" s="15">
        <v>2022</v>
      </c>
      <c r="B5">
        <v>0.93300000000000005</v>
      </c>
      <c r="C5">
        <v>0.90900000000000003</v>
      </c>
      <c r="E5">
        <v>0.97</v>
      </c>
      <c r="F5">
        <v>0.97299999999999998</v>
      </c>
      <c r="L5" s="7"/>
      <c r="N5" t="s">
        <v>9</v>
      </c>
      <c r="O5" s="2">
        <v>2.6899999999999998E+24</v>
      </c>
      <c r="P5" t="s">
        <v>10</v>
      </c>
    </row>
    <row r="6" spans="1:30" x14ac:dyDescent="0.25">
      <c r="A6" s="15" t="s">
        <v>1</v>
      </c>
      <c r="B6" s="8">
        <f>AVERAGE(B3:B5)</f>
        <v>0.93300000000000005</v>
      </c>
      <c r="C6" s="8">
        <f>AVERAGE(C3:C5)</f>
        <v>0.90900000000000003</v>
      </c>
      <c r="D6" s="8"/>
      <c r="E6" s="9">
        <f>AVERAGE(E3:E5)</f>
        <v>0.97066666666666668</v>
      </c>
      <c r="F6" s="9">
        <f>AVERAGE(F3:F5)</f>
        <v>0.97366666666666657</v>
      </c>
      <c r="G6">
        <f>AVERAGE(G3:G5)</f>
        <v>0.98899999999999999</v>
      </c>
      <c r="K6">
        <f>AVERAGE(K3:K5)</f>
        <v>0.104</v>
      </c>
      <c r="L6" s="7"/>
      <c r="N6" t="s">
        <v>11</v>
      </c>
      <c r="O6">
        <v>2228</v>
      </c>
      <c r="P6" t="s">
        <v>12</v>
      </c>
      <c r="AA6" s="2"/>
    </row>
    <row r="7" spans="1:30" x14ac:dyDescent="0.25">
      <c r="A7" s="15" t="s">
        <v>0</v>
      </c>
      <c r="B7" s="1">
        <f>_xlfn.STDEV.P(B3:B5)</f>
        <v>0</v>
      </c>
      <c r="C7" s="1">
        <f>_xlfn.STDEV.P(C3:C5)</f>
        <v>0</v>
      </c>
      <c r="D7" s="1"/>
      <c r="E7" s="1">
        <f>_xlfn.STDEV.P(E3:E5)</f>
        <v>3.2998316455372248E-3</v>
      </c>
      <c r="F7" s="1">
        <f>_xlfn.STDEV.P(F3:F5)</f>
        <v>1.6996731711975963E-3</v>
      </c>
      <c r="G7" s="1">
        <f>_xlfn.STDEV.P(G3:G5)</f>
        <v>0</v>
      </c>
      <c r="H7" s="1"/>
      <c r="I7" s="1"/>
      <c r="J7" s="1"/>
      <c r="K7" s="1">
        <f>_xlfn.STDEV.P(K3:K5)</f>
        <v>0</v>
      </c>
      <c r="L7" s="7"/>
      <c r="N7" t="s">
        <v>13</v>
      </c>
      <c r="O7" s="2">
        <v>3.8499999999999998E-24</v>
      </c>
    </row>
    <row r="8" spans="1:30" x14ac:dyDescent="0.25">
      <c r="A8" s="15" t="s">
        <v>2</v>
      </c>
      <c r="E8" s="19">
        <f>E7/SQRT(COUNT(E3:E5))</f>
        <v>1.9051586888313627E-3</v>
      </c>
      <c r="F8" s="19">
        <f>F7/SQRT(COUNT(F3:F5))</f>
        <v>9.8130676292531725E-4</v>
      </c>
      <c r="L8" s="7"/>
      <c r="N8" t="s">
        <v>14</v>
      </c>
      <c r="O8" s="2">
        <v>1010000</v>
      </c>
      <c r="P8" t="s">
        <v>15</v>
      </c>
    </row>
    <row r="9" spans="1:30" x14ac:dyDescent="0.25">
      <c r="A9" s="15" t="s">
        <v>3</v>
      </c>
      <c r="E9" s="10">
        <f>E8/E6</f>
        <v>1.962732165691651E-3</v>
      </c>
      <c r="F9" s="10">
        <f>F8/F6</f>
        <v>1.0078467267291859E-3</v>
      </c>
      <c r="L9" s="7"/>
      <c r="N9" t="s">
        <v>17</v>
      </c>
      <c r="O9" s="2">
        <f>O5*O6*O7/(O4*O8)</f>
        <v>12.622002078660904</v>
      </c>
      <c r="P9" t="s">
        <v>16</v>
      </c>
    </row>
    <row r="10" spans="1:30" x14ac:dyDescent="0.25">
      <c r="A10" s="16" t="s">
        <v>4</v>
      </c>
      <c r="B10" s="11"/>
      <c r="C10" s="11"/>
      <c r="D10" s="11"/>
      <c r="E10" s="12">
        <f>E8/(1-E6)</f>
        <v>6.4948591664705568E-2</v>
      </c>
      <c r="F10" s="12">
        <f>F8/(1-F6)</f>
        <v>3.7264813781973938E-2</v>
      </c>
      <c r="G10" s="11"/>
      <c r="H10" s="11"/>
      <c r="I10" s="11"/>
      <c r="J10" s="11"/>
      <c r="K10" s="11"/>
      <c r="L10" s="13"/>
    </row>
    <row r="11" spans="1:30" x14ac:dyDescent="0.25">
      <c r="A11" s="17" t="s">
        <v>19</v>
      </c>
      <c r="E11" s="1">
        <f>(1-E6)/(1-B6)</f>
        <v>0.43781094527363201</v>
      </c>
      <c r="F11" s="1">
        <f>(1-F6)/(1-C6)</f>
        <v>0.28937728937729057</v>
      </c>
    </row>
    <row r="12" spans="1:30" x14ac:dyDescent="0.25">
      <c r="A12" s="17" t="s">
        <v>18</v>
      </c>
      <c r="B12" s="1">
        <f>-LN(B6)</f>
        <v>6.9350078134793172E-2</v>
      </c>
      <c r="C12" s="1">
        <f>-LN(C6)</f>
        <v>9.5410184804658182E-2</v>
      </c>
      <c r="E12" s="1">
        <f>-LN(E6)</f>
        <v>2.9772158333670144E-2</v>
      </c>
      <c r="F12" s="1">
        <f>-LN(F6)</f>
        <v>2.6686265262505879E-2</v>
      </c>
    </row>
    <row r="13" spans="1:30" x14ac:dyDescent="0.25">
      <c r="B13" s="1"/>
      <c r="C13" s="1">
        <f>(-LN(C6+C8)+LN(C6-C8))/2</f>
        <v>0</v>
      </c>
      <c r="E13" s="1"/>
      <c r="F13" s="1">
        <f>(-LN(F6+F8)+LN(F6-F8))/2</f>
        <v>-1.0078470679711609E-3</v>
      </c>
      <c r="G13" s="21">
        <f>F13/F12</f>
        <v>-3.7766508653692465E-2</v>
      </c>
    </row>
    <row r="14" spans="1:30" x14ac:dyDescent="0.25">
      <c r="A14" s="17" t="s">
        <v>20</v>
      </c>
      <c r="E14" s="1">
        <f>E12/B12</f>
        <v>0.42930244830875469</v>
      </c>
      <c r="F14" s="1">
        <f>F12/C12</f>
        <v>0.27970038332011471</v>
      </c>
      <c r="G14" s="1">
        <f>AVERAGE(E14:F14)</f>
        <v>0.35450141581443473</v>
      </c>
      <c r="H14" s="1">
        <f>_xlfn.STDEV.P(E14:F14)</f>
        <v>7.4801032494319825E-2</v>
      </c>
      <c r="I14" s="20">
        <f>H14/G14</f>
        <v>0.21100348026106261</v>
      </c>
    </row>
    <row r="15" spans="1:30" x14ac:dyDescent="0.25">
      <c r="A15" s="17" t="s">
        <v>21</v>
      </c>
      <c r="E15" s="18">
        <f>$O$4*E14*$O$3/$O$2</f>
        <v>1.1220378564636507E-4</v>
      </c>
      <c r="F15" s="18">
        <f>$O$4*F14*$O$3/$O$2</f>
        <v>7.3103337702573026E-5</v>
      </c>
      <c r="G15" s="18">
        <f>AVERAGE(E15:F15)</f>
        <v>9.2653561674469056E-5</v>
      </c>
      <c r="H15" s="18">
        <f>_xlfn.STDEV.P(E15:F15)</f>
        <v>1.9550223971896023E-5</v>
      </c>
      <c r="I15" s="20">
        <f>H15/G15</f>
        <v>0.21100348026106308</v>
      </c>
    </row>
    <row r="16" spans="1:30" x14ac:dyDescent="0.25">
      <c r="A16" s="17" t="s">
        <v>22</v>
      </c>
      <c r="B16" s="2">
        <f>B12/($O$3)</f>
        <v>0.1620328928383018</v>
      </c>
      <c r="C16" s="2">
        <f>C12/($O$3)</f>
        <v>0.2229209925342481</v>
      </c>
      <c r="E16" s="10"/>
      <c r="F16" s="10"/>
    </row>
    <row r="17" spans="1:6" x14ac:dyDescent="0.25">
      <c r="A17" s="17" t="s">
        <v>23</v>
      </c>
      <c r="B17" s="2">
        <f>B16/2</f>
        <v>8.10164464191509E-2</v>
      </c>
      <c r="C17" s="2">
        <f>C16/2</f>
        <v>0.11146049626712405</v>
      </c>
      <c r="E17" s="10"/>
      <c r="F17" s="10"/>
    </row>
    <row r="18" spans="1:6" x14ac:dyDescent="0.25">
      <c r="A18" s="17" t="s">
        <v>24</v>
      </c>
      <c r="B18" s="2">
        <f>B16/4</f>
        <v>4.050822320957545E-2</v>
      </c>
      <c r="C18" s="2">
        <f>C16/4</f>
        <v>5.5730248133562026E-2</v>
      </c>
      <c r="E18" s="10"/>
      <c r="F18" s="10"/>
    </row>
    <row r="19" spans="1:6" x14ac:dyDescent="0.25">
      <c r="A19" s="17" t="s">
        <v>25</v>
      </c>
      <c r="B19" s="2">
        <f>B12*2.2*$O$6/(224000*$O$4*$O$3)</f>
        <v>1.9589098942783645</v>
      </c>
      <c r="C19" s="2">
        <f>C12*2.2*$O$6/(224000*$O$4*$O$3)</f>
        <v>2.6950215494422616</v>
      </c>
      <c r="E19" s="10"/>
      <c r="F19" s="10"/>
    </row>
    <row r="20" spans="1:6" x14ac:dyDescent="0.25">
      <c r="A20" s="17" t="s">
        <v>26</v>
      </c>
      <c r="B20" s="2">
        <f t="shared" ref="B20:C22" si="0">B16*$O$9</f>
        <v>2.0451795102164847</v>
      </c>
      <c r="C20" s="2">
        <f t="shared" si="0"/>
        <v>2.8137092311444314</v>
      </c>
      <c r="E20" s="10"/>
      <c r="F20" s="10"/>
    </row>
    <row r="21" spans="1:6" x14ac:dyDescent="0.25">
      <c r="A21" s="17" t="s">
        <v>23</v>
      </c>
      <c r="B21" s="2">
        <f t="shared" si="0"/>
        <v>1.0225897551082423</v>
      </c>
      <c r="C21" s="2">
        <f t="shared" si="0"/>
        <v>1.4068546155722157</v>
      </c>
      <c r="E21" s="10"/>
      <c r="F21" s="10"/>
    </row>
    <row r="22" spans="1:6" x14ac:dyDescent="0.25">
      <c r="A22" s="17" t="s">
        <v>24</v>
      </c>
      <c r="B22" s="2">
        <f t="shared" si="0"/>
        <v>0.51129487755412117</v>
      </c>
      <c r="C22" s="2">
        <f t="shared" si="0"/>
        <v>0.70342730778610785</v>
      </c>
      <c r="E22" s="10"/>
      <c r="F22" s="10"/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filtereffectivedataWV1</vt:lpstr>
      <vt:lpstr>filtereffectivedataWV2</vt:lpstr>
      <vt:lpstr>Observed (Moons)</vt:lpstr>
      <vt:lpstr>Moons -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2022-12-01T00:14:20Z</dcterms:created>
  <dcterms:modified xsi:type="dcterms:W3CDTF">2023-02-19T16:33:55Z</dcterms:modified>
</cp:coreProperties>
</file>