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Photometry\data output\"/>
    </mc:Choice>
  </mc:AlternateContent>
  <xr:revisionPtr revIDLastSave="0" documentId="13_ncr:1_{98E56E53-E20F-423C-92BC-320256B283C0}" xr6:coauthVersionLast="47" xr6:coauthVersionMax="47" xr10:uidLastSave="{00000000-0000-0000-0000-000000000000}"/>
  <bookViews>
    <workbookView xWindow="-110" yWindow="-110" windowWidth="19420" windowHeight="10300" xr2:uid="{19784BED-E69C-498E-9D27-C5EB263D22FE}"/>
  </bookViews>
  <sheets>
    <sheet name="New Analysis 2024" sheetId="12" r:id="rId1"/>
    <sheet name="Summary" sheetId="7" r:id="rId2"/>
    <sheet name="filtereffectivedataWV1" sheetId="4" r:id="rId3"/>
    <sheet name="filtereffectivedataWV2" sheetId="5" r:id="rId4"/>
    <sheet name="Modeled (Moons)" sheetId="8" r:id="rId5"/>
    <sheet name="Observed (Moons)" sheetId="6" r:id="rId6"/>
    <sheet name="Observed VLT-MUSE MaximDL" sheetId="9" r:id="rId7"/>
    <sheet name="Modeled VLT-MUSE Karkoschka" sheetId="11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2" l="1"/>
  <c r="D23" i="12"/>
  <c r="E23" i="12"/>
  <c r="B23" i="12"/>
  <c r="G24" i="12" l="1"/>
  <c r="H24" i="12" s="1"/>
  <c r="F24" i="12"/>
  <c r="G23" i="12"/>
  <c r="H23" i="12" s="1"/>
  <c r="F23" i="12"/>
  <c r="G22" i="12"/>
  <c r="F22" i="12"/>
  <c r="H22" i="12" s="1"/>
  <c r="F6" i="12"/>
  <c r="I6" i="12" s="1"/>
  <c r="F3" i="12"/>
  <c r="I3" i="12" s="1"/>
  <c r="G6" i="12"/>
  <c r="H6" i="12" s="1"/>
  <c r="G3" i="12"/>
  <c r="H3" i="12" s="1"/>
  <c r="C24" i="12" l="1"/>
  <c r="E24" i="12"/>
  <c r="B22" i="12"/>
  <c r="E8" i="12"/>
  <c r="E7" i="12"/>
  <c r="E5" i="12"/>
  <c r="E4" i="12"/>
  <c r="E22" i="12" s="1"/>
  <c r="B8" i="12"/>
  <c r="C8" i="12"/>
  <c r="B5" i="12"/>
  <c r="C5" i="12"/>
  <c r="D6" i="12"/>
  <c r="D7" i="12" s="1"/>
  <c r="D24" i="12" s="1"/>
  <c r="D3" i="12"/>
  <c r="D5" i="12" s="1"/>
  <c r="B7" i="12"/>
  <c r="C7" i="12"/>
  <c r="B4" i="12"/>
  <c r="C4" i="12"/>
  <c r="C22" i="12" s="1"/>
  <c r="C21" i="7"/>
  <c r="C20" i="7"/>
  <c r="C17" i="7"/>
  <c r="C18" i="7"/>
  <c r="K11" i="9"/>
  <c r="F3" i="6"/>
  <c r="I10" i="11"/>
  <c r="H9" i="11"/>
  <c r="H10" i="11"/>
  <c r="H12" i="9"/>
  <c r="H16" i="9" s="1"/>
  <c r="H17" i="9" s="1"/>
  <c r="L3" i="11"/>
  <c r="J15" i="11"/>
  <c r="J16" i="11" s="1"/>
  <c r="K4" i="11" s="1"/>
  <c r="H11" i="9"/>
  <c r="B26" i="6"/>
  <c r="O3" i="8"/>
  <c r="E25" i="12" l="1"/>
  <c r="C25" i="12"/>
  <c r="F7" i="12"/>
  <c r="G7" i="12"/>
  <c r="H7" i="12" s="1"/>
  <c r="B24" i="12"/>
  <c r="B25" i="12" s="1"/>
  <c r="F5" i="12"/>
  <c r="G5" i="12"/>
  <c r="H5" i="12" s="1"/>
  <c r="F4" i="12"/>
  <c r="G4" i="12"/>
  <c r="H4" i="12" s="1"/>
  <c r="D8" i="12"/>
  <c r="G8" i="12"/>
  <c r="F8" i="12"/>
  <c r="D4" i="12"/>
  <c r="D22" i="12" s="1"/>
  <c r="G21" i="7"/>
  <c r="G20" i="7"/>
  <c r="G18" i="7"/>
  <c r="G17" i="7"/>
  <c r="B17" i="7"/>
  <c r="G11" i="9"/>
  <c r="M5" i="9"/>
  <c r="F4" i="9"/>
  <c r="G4" i="9" s="1"/>
  <c r="H4" i="9" s="1"/>
  <c r="F11" i="9"/>
  <c r="N18" i="9"/>
  <c r="M18" i="9"/>
  <c r="N17" i="9"/>
  <c r="O17" i="9" s="1"/>
  <c r="M17" i="9"/>
  <c r="F25" i="12" l="1"/>
  <c r="G25" i="12"/>
  <c r="H8" i="12"/>
  <c r="D25" i="12"/>
  <c r="K4" i="9"/>
  <c r="O18" i="9"/>
  <c r="G22" i="7"/>
  <c r="G19" i="7"/>
  <c r="F20" i="7"/>
  <c r="F22" i="7" s="1"/>
  <c r="H25" i="12" l="1"/>
  <c r="I13" i="11"/>
  <c r="I12" i="11"/>
  <c r="B29" i="11" l="1"/>
  <c r="N3" i="11" s="1"/>
  <c r="S5" i="11"/>
  <c r="P4" i="11"/>
  <c r="Q4" i="11" s="1"/>
  <c r="P3" i="11"/>
  <c r="T3" i="11" s="1"/>
  <c r="M3" i="11"/>
  <c r="R3" i="11" l="1"/>
  <c r="R18" i="11" s="1"/>
  <c r="R19" i="11" s="1"/>
  <c r="D11" i="9"/>
  <c r="E12" i="9" s="1"/>
  <c r="F12" i="9" s="1"/>
  <c r="G12" i="9" s="1"/>
  <c r="B21" i="7"/>
  <c r="C24" i="9"/>
  <c r="D4" i="9"/>
  <c r="L4" i="5"/>
  <c r="L3" i="4"/>
  <c r="L4" i="4"/>
  <c r="L5" i="4"/>
  <c r="L6" i="4"/>
  <c r="L7" i="4"/>
  <c r="L8" i="4"/>
  <c r="L9" i="4"/>
  <c r="L10" i="4"/>
  <c r="L2" i="4"/>
  <c r="T19" i="6"/>
  <c r="K15" i="8"/>
  <c r="K16" i="8" s="1"/>
  <c r="L4" i="8" s="1"/>
  <c r="F5" i="6"/>
  <c r="E10" i="9" l="1"/>
  <c r="F10" i="9" s="1"/>
  <c r="G10" i="9" s="1"/>
  <c r="E3" i="9"/>
  <c r="E5" i="9"/>
  <c r="F5" i="9" s="1"/>
  <c r="T5" i="8"/>
  <c r="F29" i="7"/>
  <c r="Q4" i="8"/>
  <c r="R4" i="8" s="1"/>
  <c r="F28" i="7" s="1"/>
  <c r="N3" i="8"/>
  <c r="Q3" i="8"/>
  <c r="U3" i="8" s="1"/>
  <c r="M3" i="8"/>
  <c r="B29" i="8"/>
  <c r="F21" i="7"/>
  <c r="F18" i="7"/>
  <c r="F17" i="7"/>
  <c r="F19" i="7" s="1"/>
  <c r="B35" i="7"/>
  <c r="B39" i="7" s="1"/>
  <c r="B34" i="7"/>
  <c r="H10" i="9" l="1"/>
  <c r="I10" i="9" s="1"/>
  <c r="J10" i="9"/>
  <c r="F3" i="9"/>
  <c r="C19" i="7" s="1"/>
  <c r="C22" i="7"/>
  <c r="S3" i="8"/>
  <c r="E29" i="7"/>
  <c r="D29" i="7"/>
  <c r="B29" i="7"/>
  <c r="J29" i="7" s="1"/>
  <c r="E20" i="7"/>
  <c r="E22" i="7" s="1"/>
  <c r="D20" i="7"/>
  <c r="D22" i="7" s="1"/>
  <c r="E17" i="7"/>
  <c r="E19" i="7" s="1"/>
  <c r="D17" i="7"/>
  <c r="B20" i="7"/>
  <c r="B22" i="7" s="1"/>
  <c r="D12" i="7"/>
  <c r="E12" i="7"/>
  <c r="E9" i="7"/>
  <c r="D9" i="7"/>
  <c r="B12" i="7"/>
  <c r="J12" i="7" s="1"/>
  <c r="B9" i="7"/>
  <c r="J9" i="7" s="1"/>
  <c r="S2" i="5"/>
  <c r="S2" i="4"/>
  <c r="E4" i="7"/>
  <c r="D4" i="7"/>
  <c r="L23" i="6"/>
  <c r="L25" i="6" s="1"/>
  <c r="L26" i="6" s="1"/>
  <c r="L27" i="6" s="1"/>
  <c r="B28" i="4"/>
  <c r="B28" i="5"/>
  <c r="N2" i="5"/>
  <c r="P2" i="5" s="1"/>
  <c r="L6" i="6"/>
  <c r="K6" i="6"/>
  <c r="G10" i="6"/>
  <c r="F10" i="6"/>
  <c r="G6" i="6"/>
  <c r="F6" i="6"/>
  <c r="G5" i="6"/>
  <c r="I5" i="6"/>
  <c r="G3" i="6"/>
  <c r="N8" i="4"/>
  <c r="P8" i="4" s="1"/>
  <c r="N5" i="4"/>
  <c r="P5" i="4" s="1"/>
  <c r="P8" i="5"/>
  <c r="O8" i="5"/>
  <c r="O5" i="5"/>
  <c r="N8" i="5"/>
  <c r="K17" i="5"/>
  <c r="K18" i="5" s="1"/>
  <c r="M10" i="5"/>
  <c r="L10" i="5"/>
  <c r="M9" i="5"/>
  <c r="L9" i="5"/>
  <c r="M8" i="5"/>
  <c r="L8" i="5"/>
  <c r="M7" i="5"/>
  <c r="L7" i="5"/>
  <c r="M6" i="5"/>
  <c r="L6" i="5"/>
  <c r="N5" i="5"/>
  <c r="P5" i="5" s="1"/>
  <c r="M5" i="5"/>
  <c r="L5" i="5"/>
  <c r="N4" i="5"/>
  <c r="Q4" i="5" s="1"/>
  <c r="E21" i="7" s="1"/>
  <c r="M4" i="5"/>
  <c r="M3" i="5"/>
  <c r="L3" i="5"/>
  <c r="M2" i="5"/>
  <c r="L2" i="5"/>
  <c r="K17" i="4"/>
  <c r="K18" i="4" s="1"/>
  <c r="M10" i="4"/>
  <c r="M9" i="4"/>
  <c r="M8" i="4"/>
  <c r="M7" i="4"/>
  <c r="M6" i="4"/>
  <c r="M5" i="4"/>
  <c r="N4" i="4"/>
  <c r="O4" i="4" s="1"/>
  <c r="M4" i="4"/>
  <c r="M3" i="4"/>
  <c r="N2" i="4"/>
  <c r="P2" i="4" s="1"/>
  <c r="D6" i="7" s="1"/>
  <c r="M2" i="4"/>
  <c r="P17" i="4" l="1"/>
  <c r="P18" i="4" s="1"/>
  <c r="D26" i="7"/>
  <c r="T2" i="4"/>
  <c r="K10" i="9"/>
  <c r="H14" i="9"/>
  <c r="G3" i="9"/>
  <c r="H3" i="9" s="1"/>
  <c r="G5" i="9"/>
  <c r="H5" i="9" s="1"/>
  <c r="H18" i="9" s="1"/>
  <c r="H19" i="9" s="1"/>
  <c r="L5" i="6"/>
  <c r="Q5" i="6"/>
  <c r="R5" i="6" s="1"/>
  <c r="S18" i="8"/>
  <c r="S19" i="8" s="1"/>
  <c r="J3" i="6"/>
  <c r="B19" i="7"/>
  <c r="J19" i="7" s="1"/>
  <c r="B4" i="7"/>
  <c r="J4" i="7" s="1"/>
  <c r="H5" i="6"/>
  <c r="J5" i="6" s="1"/>
  <c r="J22" i="7"/>
  <c r="J20" i="7"/>
  <c r="F27" i="7"/>
  <c r="F26" i="7"/>
  <c r="D19" i="7"/>
  <c r="E26" i="7"/>
  <c r="T2" i="5"/>
  <c r="E6" i="7"/>
  <c r="O4" i="5"/>
  <c r="E10" i="7"/>
  <c r="D7" i="7"/>
  <c r="D27" i="7"/>
  <c r="D11" i="7"/>
  <c r="D28" i="7"/>
  <c r="Q4" i="4"/>
  <c r="I22" i="7"/>
  <c r="H22" i="7"/>
  <c r="I29" i="7"/>
  <c r="H29" i="7"/>
  <c r="I20" i="7"/>
  <c r="I12" i="7"/>
  <c r="H20" i="7"/>
  <c r="I9" i="7"/>
  <c r="H9" i="7"/>
  <c r="H12" i="7"/>
  <c r="K5" i="6"/>
  <c r="I3" i="6"/>
  <c r="O8" i="4"/>
  <c r="O5" i="4"/>
  <c r="R2" i="5"/>
  <c r="P17" i="5"/>
  <c r="P18" i="5" s="1"/>
  <c r="R2" i="4"/>
  <c r="I3" i="9" l="1"/>
  <c r="K3" i="9"/>
  <c r="H4" i="7"/>
  <c r="Q3" i="6"/>
  <c r="U3" i="6" s="1"/>
  <c r="B18" i="7"/>
  <c r="O23" i="7"/>
  <c r="H15" i="9"/>
  <c r="I12" i="9" s="1"/>
  <c r="J3" i="9"/>
  <c r="I4" i="7"/>
  <c r="O3" i="6"/>
  <c r="H19" i="7"/>
  <c r="I19" i="7"/>
  <c r="J17" i="7"/>
  <c r="I17" i="7"/>
  <c r="H17" i="7"/>
  <c r="E5" i="7"/>
  <c r="E18" i="7"/>
  <c r="E28" i="7"/>
  <c r="E11" i="7"/>
  <c r="E7" i="7"/>
  <c r="E27" i="7"/>
  <c r="D10" i="7"/>
  <c r="D21" i="7"/>
  <c r="D18" i="7"/>
  <c r="D5" i="7"/>
  <c r="T5" i="6"/>
  <c r="K3" i="6"/>
  <c r="L3" i="6"/>
  <c r="N3" i="6" l="1"/>
  <c r="P3" i="6"/>
  <c r="S3" i="6"/>
  <c r="W3" i="6" s="1"/>
  <c r="C26" i="7"/>
  <c r="C27" i="7"/>
  <c r="C28" i="7"/>
  <c r="H7" i="9"/>
  <c r="H8" i="9" s="1"/>
  <c r="V3" i="6"/>
  <c r="L14" i="6"/>
  <c r="L15" i="6" s="1"/>
  <c r="M5" i="6" s="1"/>
  <c r="J18" i="7"/>
  <c r="B10" i="7"/>
  <c r="J10" i="7" s="1"/>
  <c r="J21" i="7"/>
  <c r="B28" i="7"/>
  <c r="J28" i="7" s="1"/>
  <c r="B11" i="7"/>
  <c r="J11" i="7" s="1"/>
  <c r="B26" i="7"/>
  <c r="J26" i="7" s="1"/>
  <c r="B6" i="7"/>
  <c r="J6" i="7" s="1"/>
  <c r="I5" i="9" l="1"/>
  <c r="C29" i="7"/>
  <c r="B5" i="7"/>
  <c r="J5" i="7" s="1"/>
  <c r="B7" i="7"/>
  <c r="J7" i="7" s="1"/>
  <c r="B27" i="7"/>
  <c r="J27" i="7" s="1"/>
  <c r="H6" i="7"/>
  <c r="I6" i="7"/>
  <c r="I26" i="7"/>
  <c r="H26" i="7"/>
  <c r="H11" i="7"/>
  <c r="I11" i="7"/>
  <c r="H28" i="7"/>
  <c r="I28" i="7"/>
  <c r="H21" i="7"/>
  <c r="I21" i="7"/>
  <c r="I10" i="7"/>
  <c r="H10" i="7"/>
  <c r="I18" i="7"/>
  <c r="H18" i="7"/>
  <c r="H5" i="7" l="1"/>
  <c r="I5" i="7"/>
  <c r="H27" i="7"/>
  <c r="I27" i="7"/>
  <c r="I7" i="7"/>
  <c r="H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Hill</author>
  </authors>
  <commentList>
    <comment ref="D16" authorId="0" shapeId="0" xr:uid="{518BA2D3-5175-48E5-B2F0-D2BDC647A438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Straight ratio model using spline fit continuum #1 and SCT filter transmissions</t>
        </r>
      </text>
    </comment>
    <comment ref="E16" authorId="0" shapeId="0" xr:uid="{721470F0-464F-4CB2-882B-04EA3F9D904E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Straight ratio model using spline fit continuum #1 and SCT filter transmissions</t>
        </r>
      </text>
    </comment>
    <comment ref="F16" authorId="0" shapeId="0" xr:uid="{B20671D6-0F97-47CE-B463-2C8FE3104E97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Full model for SCT using Karkoschka Jupiter spectrum, Galilean moons spectra, and SCT filter transmission</t>
        </r>
      </text>
    </comment>
    <comment ref="G16" authorId="0" shapeId="0" xr:uid="{86FB888F-75C7-480D-8B10-AD259F3524BC}">
      <text>
        <r>
          <rPr>
            <b/>
            <sz val="9"/>
            <color indexed="81"/>
            <rFont val="Tahoma"/>
            <charset val="1"/>
          </rPr>
          <t>Steven Hill:</t>
        </r>
        <r>
          <rPr>
            <sz val="9"/>
            <color indexed="81"/>
            <rFont val="Tahoma"/>
            <charset val="1"/>
          </rPr>
          <t xml:space="preserve">
Need to double check if this is using continuum Model 1, or interpolation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Hill</author>
  </authors>
  <commentList>
    <comment ref="K2" authorId="0" shapeId="0" xr:uid="{D083E1F3-1D1F-42D6-8120-CD7F2F424242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Independent solution of column abundance
</t>
        </r>
      </text>
    </comment>
    <comment ref="L2" authorId="0" shapeId="0" xr:uid="{2D128C87-2B21-467C-9BC3-131D3A71FFDC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Independent solution of column abundance
</t>
        </r>
      </text>
    </comment>
    <comment ref="A3" authorId="0" shapeId="0" xr:uid="{4EF18C22-8846-445F-BD14-82994C072826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
</t>
        </r>
      </text>
    </comment>
    <comment ref="A5" authorId="0" shapeId="0" xr:uid="{AE6FB231-4D83-48B0-AA6E-1F8829522E58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Includes slope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Hill</author>
  </authors>
  <commentList>
    <comment ref="C2" authorId="0" shapeId="0" xr:uid="{2A82D431-0882-4B75-BF5A-278068920468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Manually measured in 1/4 size images in MaximDL. PNG images generated by ReadMUSE.py. These are radiance images, not albedo images.</t>
        </r>
      </text>
    </comment>
    <comment ref="F4" authorId="0" shapeId="0" xr:uid="{AE1F7411-5C68-4834-B256-4B0772ED22F4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This is computed only with the 632 continuum reference, rather than the 632-656 extrapolation</t>
        </r>
      </text>
    </comment>
    <comment ref="F11" authorId="0" shapeId="0" xr:uid="{9DFE3D6C-E874-40F8-B1F2-BB77B7CEFFEC}">
      <text>
        <r>
          <rPr>
            <b/>
            <sz val="9"/>
            <color indexed="81"/>
            <rFont val="Tahoma"/>
            <family val="2"/>
          </rPr>
          <t>Steven Hill:</t>
        </r>
        <r>
          <rPr>
            <sz val="9"/>
            <color indexed="81"/>
            <rFont val="Tahoma"/>
            <family val="2"/>
          </rPr>
          <t xml:space="preserve">
This is computed only with the 632 continuum reference, rather than the 632-656 extrapolation</t>
        </r>
      </text>
    </comment>
  </commentList>
</comments>
</file>

<file path=xl/sharedStrings.xml><?xml version="1.0" encoding="utf-8"?>
<sst xmlns="http://schemas.openxmlformats.org/spreadsheetml/2006/main" count="404" uniqueCount="147">
  <si>
    <t>Stddev</t>
  </si>
  <si>
    <t>Mean</t>
  </si>
  <si>
    <t>StdErr</t>
  </si>
  <si>
    <t>CH4 Ab</t>
  </si>
  <si>
    <t>KCH4</t>
  </si>
  <si>
    <t>KNH3</t>
  </si>
  <si>
    <r>
      <t>(km-atm)</t>
    </r>
    <r>
      <rPr>
        <vertAlign val="superscript"/>
        <sz val="11"/>
        <color theme="1"/>
        <rFont val="Calibri"/>
        <family val="2"/>
        <scheme val="minor"/>
      </rPr>
      <t>-1</t>
    </r>
  </si>
  <si>
    <t>amagat</t>
  </si>
  <si>
    <t>cm-2</t>
  </si>
  <si>
    <t>gravity</t>
  </si>
  <si>
    <t>cm/s^2</t>
  </si>
  <si>
    <t>mmolwt</t>
  </si>
  <si>
    <t>stp</t>
  </si>
  <si>
    <t>dyne/cm^2</t>
  </si>
  <si>
    <t>amagat*gravity*mean_mol_wt/(fCH4*STP)</t>
  </si>
  <si>
    <t>X=</t>
  </si>
  <si>
    <t>Wavelength (nm)</t>
  </si>
  <si>
    <t>Filter Name</t>
  </si>
  <si>
    <t>k_eff (NH3)</t>
  </si>
  <si>
    <t>l_eff (NH3)</t>
  </si>
  <si>
    <t>k_eff (CH4)</t>
  </si>
  <si>
    <t>l_eff (CH4)</t>
  </si>
  <si>
    <t>Trans</t>
  </si>
  <si>
    <t>Tau</t>
  </si>
  <si>
    <t>NH3 (m-atm)</t>
  </si>
  <si>
    <t>CH4 (m-atm)</t>
  </si>
  <si>
    <t>620CH4</t>
  </si>
  <si>
    <t>632OI</t>
  </si>
  <si>
    <t>647NH3</t>
  </si>
  <si>
    <t>656HIA</t>
  </si>
  <si>
    <t>658NII</t>
  </si>
  <si>
    <t>672SII</t>
  </si>
  <si>
    <t>730OII</t>
  </si>
  <si>
    <t>889CH4</t>
  </si>
  <si>
    <t>940NIR</t>
  </si>
  <si>
    <t>s (NH3) (m)</t>
  </si>
  <si>
    <t>s (CH4) (m)</t>
  </si>
  <si>
    <t>S(joint) (m)</t>
  </si>
  <si>
    <t>ρs (NH3,joint)
(m-atm)</t>
  </si>
  <si>
    <t>ρs (CH4,joint)
(m-atm)</t>
  </si>
  <si>
    <t>Tau (NH3)</t>
  </si>
  <si>
    <t>Tau (CH4)</t>
  </si>
  <si>
    <t>N(NH3)/N(CH4)</t>
  </si>
  <si>
    <t>N(NH3)</t>
  </si>
  <si>
    <t>Transmission</t>
  </si>
  <si>
    <t>Tau StdErr</t>
  </si>
  <si>
    <t>f(CH4)</t>
  </si>
  <si>
    <t>f(NH3)</t>
  </si>
  <si>
    <t>Observed</t>
  </si>
  <si>
    <t>Model1</t>
  </si>
  <si>
    <t>Model 2</t>
  </si>
  <si>
    <t>620 nm</t>
  </si>
  <si>
    <t>T</t>
  </si>
  <si>
    <t>P (n=4) (mb)</t>
  </si>
  <si>
    <t>Pressure (mb) - Mendikoa</t>
  </si>
  <si>
    <t>Pressure (mb) - Hill</t>
  </si>
  <si>
    <t>O-P1</t>
  </si>
  <si>
    <t>O-P2</t>
  </si>
  <si>
    <t>647 nm</t>
  </si>
  <si>
    <t>f(NH3) (ppm)</t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</si>
  <si>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 (m-atm)</t>
    </r>
  </si>
  <si>
    <t>τ</t>
  </si>
  <si>
    <t>Parameter</t>
  </si>
  <si>
    <t>Filter</t>
  </si>
  <si>
    <r>
      <t>k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(km-atm)</t>
    </r>
    <r>
      <rPr>
        <vertAlign val="superscript"/>
        <sz val="10"/>
        <color theme="1"/>
        <rFont val="Calibri"/>
        <family val="2"/>
        <scheme val="minor"/>
      </rPr>
      <t>-1</t>
    </r>
  </si>
  <si>
    <r>
      <t>λ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 (NH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(nm)</t>
    </r>
  </si>
  <si>
    <r>
      <t>k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(km-atm)</t>
    </r>
    <r>
      <rPr>
        <vertAlign val="superscript"/>
        <sz val="10"/>
        <color theme="1"/>
        <rFont val="Calibri"/>
        <family val="2"/>
        <scheme val="minor"/>
      </rPr>
      <t>-1</t>
    </r>
  </si>
  <si>
    <r>
      <rPr>
        <sz val="11"/>
        <color theme="1"/>
        <rFont val="Calibri"/>
        <family val="2"/>
      </rPr>
      <t>λ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(CH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)
</t>
    </r>
    <r>
      <rPr>
        <sz val="10"/>
        <color theme="1"/>
        <rFont val="Calibri"/>
        <family val="2"/>
        <scheme val="minor"/>
      </rPr>
      <t>(nm)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</si>
  <si>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647</t>
    </r>
  </si>
  <si>
    <r>
      <t>T</t>
    </r>
    <r>
      <rPr>
        <i/>
        <vertAlign val="subscript"/>
        <sz val="11"/>
        <color theme="1"/>
        <rFont val="Calibri"/>
        <family val="2"/>
        <scheme val="minor"/>
      </rPr>
      <t>620</t>
    </r>
  </si>
  <si>
    <r>
      <t>τ</t>
    </r>
    <r>
      <rPr>
        <i/>
        <vertAlign val="subscript"/>
        <sz val="11"/>
        <color theme="1"/>
        <rFont val="Calibri"/>
        <family val="2"/>
      </rPr>
      <t>647</t>
    </r>
  </si>
  <si>
    <r>
      <t>τ</t>
    </r>
    <r>
      <rPr>
        <i/>
        <vertAlign val="subscript"/>
        <sz val="11"/>
        <color theme="1"/>
        <rFont val="Calibri"/>
        <family val="2"/>
      </rPr>
      <t>620</t>
    </r>
  </si>
  <si>
    <t>O-M1</t>
  </si>
  <si>
    <t>O-M2</t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</si>
  <si>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620</t>
    </r>
    <r>
      <rPr>
        <i/>
        <sz val="11"/>
        <color theme="1"/>
        <rFont val="Calibri"/>
        <family val="2"/>
        <scheme val="minor"/>
      </rPr>
      <t xml:space="preserve"> (m-atm)</t>
    </r>
  </si>
  <si>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647</t>
    </r>
    <r>
      <rPr>
        <i/>
        <sz val="11"/>
        <color theme="1"/>
        <rFont val="Calibri"/>
        <family val="2"/>
        <scheme val="minor"/>
      </rPr>
      <t xml:space="preserve"> (m-atm)</t>
    </r>
  </si>
  <si>
    <r>
      <t>f(NH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 (ppm)</t>
    </r>
  </si>
  <si>
    <r>
      <t>P</t>
    </r>
    <r>
      <rPr>
        <i/>
        <vertAlign val="subscript"/>
        <sz val="11"/>
        <color theme="1"/>
        <rFont val="Calibri"/>
        <family val="2"/>
        <scheme val="minor"/>
      </rPr>
      <t>620</t>
    </r>
    <r>
      <rPr>
        <i/>
        <sz val="11"/>
        <color theme="1"/>
        <rFont val="Calibri"/>
        <family val="2"/>
        <scheme val="minor"/>
      </rPr>
      <t xml:space="preserve"> (</t>
    </r>
    <r>
      <rPr>
        <i/>
        <sz val="11"/>
        <color theme="1"/>
        <rFont val="Calibri"/>
        <family val="2"/>
      </rPr>
      <t>η</t>
    </r>
    <r>
      <rPr>
        <i/>
        <sz val="11"/>
        <color theme="1"/>
        <rFont val="Calibri"/>
        <family val="2"/>
        <scheme val="minor"/>
      </rPr>
      <t>=4) (mb)</t>
    </r>
  </si>
  <si>
    <r>
      <t>W</t>
    </r>
    <r>
      <rPr>
        <i/>
        <vertAlign val="subscript"/>
        <sz val="11"/>
        <color theme="1"/>
        <rFont val="Calibri"/>
        <family val="2"/>
      </rPr>
      <t>620</t>
    </r>
  </si>
  <si>
    <t>m</t>
  </si>
  <si>
    <t>b</t>
  </si>
  <si>
    <r>
      <t>W</t>
    </r>
    <r>
      <rPr>
        <i/>
        <vertAlign val="subscript"/>
        <sz val="11"/>
        <color theme="1"/>
        <rFont val="Calibri"/>
        <family val="2"/>
      </rPr>
      <t>647</t>
    </r>
  </si>
  <si>
    <t>Methane</t>
  </si>
  <si>
    <t>Continuum</t>
  </si>
  <si>
    <t>Ammonia</t>
  </si>
  <si>
    <t>Role</t>
  </si>
  <si>
    <t>NH3</t>
  </si>
  <si>
    <t>CH4</t>
  </si>
  <si>
    <t>AGU AAI (ppm)</t>
  </si>
  <si>
    <t>AGU Values Based on inconsistent numbers</t>
  </si>
  <si>
    <t>627-667</t>
  </si>
  <si>
    <t>600-640</t>
  </si>
  <si>
    <t>Model 1</t>
  </si>
  <si>
    <t>O-M3</t>
  </si>
  <si>
    <t>JOINT SOLUTION NUMBERS!</t>
  </si>
  <si>
    <t>Model</t>
  </si>
  <si>
    <t>Joint Tau (CH4)</t>
  </si>
  <si>
    <t xml:space="preserve"> Independent Solutions: N(NH3)/N(CH4)</t>
  </si>
  <si>
    <t>Joint Tau (NH3)</t>
  </si>
  <si>
    <t>Independent Solutions</t>
  </si>
  <si>
    <t>Independent Solutions: f(NH3)=f(CH4)*N(NH3)/N(CH4)</t>
  </si>
  <si>
    <t>Signal</t>
  </si>
  <si>
    <t>Slope</t>
  </si>
  <si>
    <t>nN</t>
  </si>
  <si>
    <t>s</t>
  </si>
  <si>
    <t>P Mendikoa</t>
  </si>
  <si>
    <t>P Hill</t>
  </si>
  <si>
    <t>Celestron</t>
  </si>
  <si>
    <t>VLT-MUSE</t>
  </si>
  <si>
    <t>10nm</t>
  </si>
  <si>
    <t>6nm Split</t>
  </si>
  <si>
    <t>Albedo sampled at 0.5nm from ReadMUSE.py</t>
  </si>
  <si>
    <t>VLT MUSE</t>
  </si>
  <si>
    <t>C11</t>
  </si>
  <si>
    <t>SCT Model</t>
  </si>
  <si>
    <t>VLT Model</t>
  </si>
  <si>
    <t>Direct Interpolation of Albedo Spectrum Model 3</t>
  </si>
  <si>
    <t>tau</t>
  </si>
  <si>
    <t>SCT</t>
  </si>
  <si>
    <t>Obs, Spec, Alb</t>
  </si>
  <si>
    <t>Update from Ammonia_Test.py on 6/29/2023</t>
  </si>
  <si>
    <t>Albedo computed from MaximDL measurements of 0.25 scale PNG images with aperture settings of 34/2/8 on 6/29/2023</t>
  </si>
  <si>
    <t>Kark</t>
  </si>
  <si>
    <t>Methane VLT Trans fit= [-12.12611817  12.12042762]</t>
  </si>
  <si>
    <t>Ammonia VLT Trans fit= [-11.37482     11.37391728]</t>
  </si>
  <si>
    <t>Conversion from transmission to EW is computed by SpectralModeling.py</t>
  </si>
  <si>
    <t>Methane SCT Trans fit=</t>
  </si>
  <si>
    <t>Ammonia SCT Trans fit=</t>
  </si>
  <si>
    <t>MUSE Avg.</t>
  </si>
  <si>
    <t>MUSE
2022-07-30</t>
  </si>
  <si>
    <t>MUSE
2022-09-19</t>
  </si>
  <si>
    <t>Below are original square VLT filter profiles</t>
  </si>
  <si>
    <t>Below are actual SCT filter profiles</t>
  </si>
  <si>
    <t>Data for transmissions are from MUSE_Spectrum.py for both MUSE and Karkoschka</t>
  </si>
  <si>
    <t>Note smoothing for 9/19 and 7/30 are different because of the different spectral sampling</t>
  </si>
  <si>
    <t>DOCUMENT IN PAPER NOTES!!!</t>
  </si>
  <si>
    <r>
      <t>N</t>
    </r>
    <r>
      <rPr>
        <i/>
        <vertAlign val="subscript"/>
        <sz val="11"/>
        <color theme="1"/>
        <rFont val="Calibri"/>
        <family val="2"/>
      </rPr>
      <t>CH4</t>
    </r>
    <r>
      <rPr>
        <i/>
        <sz val="11"/>
        <color theme="1"/>
        <rFont val="Calibri"/>
        <family val="2"/>
      </rPr>
      <t xml:space="preserve"> </t>
    </r>
    <r>
      <rPr>
        <sz val="11"/>
        <color rgb="FF000000"/>
        <rFont val="Calibri"/>
        <family val="2"/>
      </rPr>
      <t>(m-amagat)</t>
    </r>
  </si>
  <si>
    <r>
      <t>P</t>
    </r>
    <r>
      <rPr>
        <i/>
        <vertAlign val="subscript"/>
        <sz val="11"/>
        <color rgb="FF000000"/>
        <rFont val="Calibri"/>
        <family val="2"/>
      </rPr>
      <t>cloud</t>
    </r>
    <r>
      <rPr>
        <i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(</t>
    </r>
    <r>
      <rPr>
        <i/>
        <sz val="11"/>
        <color rgb="FF000000"/>
        <rFont val="Calibri"/>
        <family val="2"/>
      </rPr>
      <t>η</t>
    </r>
    <r>
      <rPr>
        <sz val="11"/>
        <color rgb="FF000000"/>
        <rFont val="Calibri"/>
        <family val="2"/>
      </rPr>
      <t>=4) (mb)</t>
    </r>
  </si>
  <si>
    <r>
      <t>N</t>
    </r>
    <r>
      <rPr>
        <i/>
        <vertAlign val="subscript"/>
        <sz val="11"/>
        <color theme="1"/>
        <rFont val="Calibri"/>
        <family val="2"/>
      </rPr>
      <t>NH3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(m-amagat)</t>
    </r>
  </si>
  <si>
    <r>
      <t>f</t>
    </r>
    <r>
      <rPr>
        <i/>
        <vertAlign val="subscript"/>
        <sz val="11"/>
        <color rgb="FF000000"/>
        <rFont val="Calibri"/>
        <family val="2"/>
      </rPr>
      <t>c</t>
    </r>
    <r>
      <rPr>
        <sz val="11"/>
        <color rgb="FF000000"/>
        <rFont val="Calibri"/>
        <family val="2"/>
      </rPr>
      <t>(NH</t>
    </r>
    <r>
      <rPr>
        <vertAlign val="sub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) (ppm)</t>
    </r>
  </si>
  <si>
    <t>keff</t>
  </si>
  <si>
    <t>fCH4</t>
  </si>
  <si>
    <t>Using formulat and values from make_L3_env_data.py</t>
  </si>
  <si>
    <t>Std</t>
  </si>
  <si>
    <t>Frac Std</t>
  </si>
  <si>
    <t>Overall Average</t>
  </si>
  <si>
    <t>Propagated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</si>
</sst>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0.000E+00"/>
    <numFmt numFmtId="168" formatCode="0.0000E+00"/>
    <numFmt numFmtId="169" formatCode="0.0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</font>
    <font>
      <b/>
      <sz val="11"/>
      <color theme="1"/>
      <name val="Calibri"/>
      <family val="2"/>
    </font>
    <font>
      <strike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164" fontId="2" fillId="0" borderId="0" xfId="0" applyNumberFormat="1" applyFont="1"/>
    <xf numFmtId="10" fontId="0" fillId="0" borderId="0" xfId="1" applyNumberFormat="1" applyFont="1" applyBorder="1"/>
    <xf numFmtId="0" fontId="0" fillId="0" borderId="1" xfId="0" applyBorder="1"/>
    <xf numFmtId="0" fontId="0" fillId="0" borderId="0" xfId="0" applyAlignment="1">
      <alignment horizontal="left"/>
    </xf>
    <xf numFmtId="11" fontId="4" fillId="0" borderId="0" xfId="0" applyNumberFormat="1" applyFont="1"/>
    <xf numFmtId="165" fontId="0" fillId="0" borderId="0" xfId="0" applyNumberFormat="1"/>
    <xf numFmtId="9" fontId="0" fillId="0" borderId="0" xfId="1" applyFont="1" applyBorder="1"/>
    <xf numFmtId="0" fontId="7" fillId="0" borderId="0" xfId="0" applyFont="1" applyAlignment="1">
      <alignment horizontal="center" wrapText="1"/>
    </xf>
    <xf numFmtId="11" fontId="2" fillId="2" borderId="0" xfId="0" applyNumberFormat="1" applyFont="1" applyFill="1"/>
    <xf numFmtId="2" fontId="2" fillId="2" borderId="0" xfId="0" applyNumberFormat="1" applyFont="1" applyFill="1"/>
    <xf numFmtId="1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right"/>
    </xf>
    <xf numFmtId="11" fontId="10" fillId="0" borderId="0" xfId="0" applyNumberFormat="1" applyFont="1"/>
    <xf numFmtId="11" fontId="8" fillId="2" borderId="0" xfId="0" applyNumberFormat="1" applyFont="1" applyFill="1"/>
    <xf numFmtId="11" fontId="4" fillId="2" borderId="0" xfId="0" applyNumberFormat="1" applyFont="1" applyFill="1"/>
    <xf numFmtId="165" fontId="2" fillId="0" borderId="0" xfId="0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11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164" fontId="0" fillId="0" borderId="1" xfId="0" applyNumberFormat="1" applyBorder="1"/>
    <xf numFmtId="164" fontId="2" fillId="3" borderId="0" xfId="0" applyNumberFormat="1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8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1" fontId="19" fillId="2" borderId="0" xfId="0" applyNumberFormat="1" applyFont="1" applyFill="1"/>
    <xf numFmtId="167" fontId="2" fillId="0" borderId="0" xfId="0" applyNumberFormat="1" applyFont="1"/>
    <xf numFmtId="167" fontId="4" fillId="0" borderId="0" xfId="0" applyNumberFormat="1" applyFont="1"/>
    <xf numFmtId="11" fontId="20" fillId="2" borderId="0" xfId="0" applyNumberFormat="1" applyFont="1" applyFill="1"/>
    <xf numFmtId="167" fontId="20" fillId="2" borderId="0" xfId="0" applyNumberFormat="1" applyFont="1" applyFill="1"/>
    <xf numFmtId="167" fontId="2" fillId="2" borderId="0" xfId="0" applyNumberFormat="1" applyFont="1" applyFill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7" fontId="8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164" fontId="21" fillId="0" borderId="0" xfId="0" applyNumberFormat="1" applyFont="1"/>
    <xf numFmtId="164" fontId="22" fillId="0" borderId="0" xfId="0" applyNumberFormat="1" applyFont="1"/>
    <xf numFmtId="164" fontId="8" fillId="0" borderId="0" xfId="0" applyNumberFormat="1" applyFont="1"/>
    <xf numFmtId="0" fontId="17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169" fontId="0" fillId="0" borderId="0" xfId="0" applyNumberFormat="1"/>
    <xf numFmtId="11" fontId="8" fillId="0" borderId="0" xfId="0" applyNumberFormat="1" applyFont="1"/>
    <xf numFmtId="0" fontId="2" fillId="0" borderId="2" xfId="0" applyFont="1" applyBorder="1" applyAlignment="1">
      <alignment horizontal="center" wrapText="1"/>
    </xf>
    <xf numFmtId="0" fontId="17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14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AB8F-1E3A-460A-9C55-42BCBFC62DDD}">
  <dimension ref="A1:J27"/>
  <sheetViews>
    <sheetView tabSelected="1" topLeftCell="A17" workbookViewId="0">
      <selection activeCell="I22" sqref="I22"/>
    </sheetView>
  </sheetViews>
  <sheetFormatPr defaultRowHeight="14.5" x14ac:dyDescent="0.35"/>
  <cols>
    <col min="1" max="1" width="10.6328125" customWidth="1"/>
    <col min="2" max="2" width="11.6328125" customWidth="1"/>
    <col min="3" max="3" width="11.36328125" customWidth="1"/>
    <col min="4" max="5" width="10.36328125" bestFit="1" customWidth="1"/>
    <col min="6" max="7" width="9.36328125" bestFit="1" customWidth="1"/>
    <col min="9" max="9" width="11.453125" customWidth="1"/>
  </cols>
  <sheetData>
    <row r="1" spans="1:9" x14ac:dyDescent="0.35">
      <c r="A1" s="80" t="s">
        <v>135</v>
      </c>
      <c r="B1" s="79"/>
      <c r="C1" s="79"/>
      <c r="D1" s="79"/>
      <c r="E1" s="79"/>
      <c r="F1" s="94"/>
      <c r="G1" s="94"/>
    </row>
    <row r="2" spans="1:9" s="26" customFormat="1" ht="29" x14ac:dyDescent="0.35">
      <c r="A2" s="77" t="s">
        <v>62</v>
      </c>
      <c r="B2" s="77" t="s">
        <v>129</v>
      </c>
      <c r="C2" s="77" t="s">
        <v>130</v>
      </c>
      <c r="D2" s="77" t="s">
        <v>128</v>
      </c>
      <c r="E2" s="77" t="s">
        <v>122</v>
      </c>
      <c r="F2" s="26" t="s">
        <v>145</v>
      </c>
      <c r="G2" s="26" t="s">
        <v>143</v>
      </c>
      <c r="H2" s="26" t="s">
        <v>144</v>
      </c>
      <c r="I2" s="26" t="s">
        <v>146</v>
      </c>
    </row>
    <row r="3" spans="1:9" ht="16.5" x14ac:dyDescent="0.45">
      <c r="A3" s="35" t="s">
        <v>69</v>
      </c>
      <c r="B3" s="1">
        <v>0.89581115720000104</v>
      </c>
      <c r="C3" s="1">
        <v>0.89893532248524699</v>
      </c>
      <c r="D3" s="1">
        <f>AVERAGE(C3,B3)</f>
        <v>0.89737323984262396</v>
      </c>
      <c r="E3" s="1">
        <v>0.88351775296968904</v>
      </c>
      <c r="F3" s="1">
        <f t="shared" ref="F3:F8" si="0">AVERAGE(B3:C3,E3)</f>
        <v>0.89275474421831236</v>
      </c>
      <c r="G3" s="9">
        <f t="shared" ref="G3:G8" si="1">_xlfn.STDEV.P(B3:C3,E3)</f>
        <v>6.6549033390296396E-3</v>
      </c>
      <c r="H3" s="90">
        <f t="shared" ref="H3:H8" si="2">G3/F3</f>
        <v>7.4543466524578487E-3</v>
      </c>
      <c r="I3" s="90">
        <f>(-LN(F3+G3)+LN(F3))/LN(F3)</f>
        <v>6.5466141991640248E-2</v>
      </c>
    </row>
    <row r="4" spans="1:9" ht="16.5" x14ac:dyDescent="0.45">
      <c r="A4" s="36" t="s">
        <v>71</v>
      </c>
      <c r="B4" s="1">
        <f>-LN(B3)</f>
        <v>0.11002565027421968</v>
      </c>
      <c r="C4" s="1">
        <f>-LN(C3)</f>
        <v>0.1065441909414835</v>
      </c>
      <c r="D4" s="1">
        <f>-LN(D3)</f>
        <v>0.10828340553873111</v>
      </c>
      <c r="E4" s="1">
        <f>-LN(E3)</f>
        <v>0.12384389351403492</v>
      </c>
      <c r="F4" s="1">
        <f t="shared" si="0"/>
        <v>0.11347124490991269</v>
      </c>
      <c r="G4" s="9">
        <f t="shared" si="1"/>
        <v>7.471011491974518E-3</v>
      </c>
      <c r="H4" s="90">
        <f t="shared" si="2"/>
        <v>6.5840570427388168E-2</v>
      </c>
    </row>
    <row r="5" spans="1:9" ht="16.5" x14ac:dyDescent="0.45">
      <c r="A5" s="36" t="s">
        <v>78</v>
      </c>
      <c r="B5" s="1">
        <f>B$3*$B14+$C14</f>
        <v>1.3359040243250906</v>
      </c>
      <c r="C5" s="1">
        <f>C$3*$B14+$C14</f>
        <v>1.2957040605174353</v>
      </c>
      <c r="D5" s="1">
        <f>D$3*$B14+$C14</f>
        <v>1.3158040424212629</v>
      </c>
      <c r="E5" s="1">
        <f>E$3*$B14+$C14</f>
        <v>1.4940884864165422</v>
      </c>
      <c r="F5" s="1">
        <f t="shared" si="0"/>
        <v>1.3752321904196894</v>
      </c>
      <c r="G5" s="9">
        <f t="shared" si="1"/>
        <v>8.5631472392272645E-2</v>
      </c>
      <c r="H5" s="90">
        <f t="shared" si="2"/>
        <v>6.2266919716400679E-2</v>
      </c>
    </row>
    <row r="6" spans="1:9" ht="16.5" x14ac:dyDescent="0.45">
      <c r="A6" s="35" t="s">
        <v>68</v>
      </c>
      <c r="B6" s="1">
        <v>0.95955114371018102</v>
      </c>
      <c r="C6" s="1">
        <v>0.96914466613228001</v>
      </c>
      <c r="D6" s="1">
        <f>AVERAGE(C6,B6)</f>
        <v>0.96434790492123046</v>
      </c>
      <c r="E6" s="1">
        <v>0.963381217605777</v>
      </c>
      <c r="F6" s="1">
        <f t="shared" si="0"/>
        <v>0.96402567581607934</v>
      </c>
      <c r="G6" s="9">
        <f t="shared" si="1"/>
        <v>3.9429610619810913E-3</v>
      </c>
      <c r="H6" s="90">
        <f t="shared" si="2"/>
        <v>4.0900996320904475E-3</v>
      </c>
      <c r="I6" s="90">
        <f>(-LN(F6+G6)+LN(F6))/LN(F6)</f>
        <v>0.11140974730857693</v>
      </c>
    </row>
    <row r="7" spans="1:9" ht="16.5" x14ac:dyDescent="0.45">
      <c r="A7" s="36" t="s">
        <v>70</v>
      </c>
      <c r="B7" s="1">
        <f>-LN(B6)</f>
        <v>4.1289662495105038E-2</v>
      </c>
      <c r="C7" s="1">
        <f>-LN(C6)</f>
        <v>3.1341383980489974E-2</v>
      </c>
      <c r="D7" s="1">
        <f>-LN(D6)</f>
        <v>3.6303152258135817E-2</v>
      </c>
      <c r="E7" s="1">
        <f>-LN(E6)</f>
        <v>3.7306080921905835E-2</v>
      </c>
      <c r="F7" s="1">
        <f t="shared" si="0"/>
        <v>3.664570913250028E-2</v>
      </c>
      <c r="G7" s="9">
        <f t="shared" si="1"/>
        <v>4.0881234102596873E-3</v>
      </c>
      <c r="H7" s="90">
        <f t="shared" si="2"/>
        <v>0.1115580379541358</v>
      </c>
    </row>
    <row r="8" spans="1:9" ht="16.5" x14ac:dyDescent="0.45">
      <c r="A8" s="43" t="s">
        <v>81</v>
      </c>
      <c r="B8" s="44">
        <f>B$6*$B15+$C15</f>
        <v>0.486365590806912</v>
      </c>
      <c r="C8" s="44">
        <f>C$6*$B15+$C15</f>
        <v>0.37079917407968743</v>
      </c>
      <c r="D8" s="44">
        <f>D$6*$B15+$C15</f>
        <v>0.4285823824433006</v>
      </c>
      <c r="E8" s="44">
        <f>E$6*$B15+$C15</f>
        <v>0.44022738458404298</v>
      </c>
      <c r="F8" s="1">
        <f t="shared" si="0"/>
        <v>0.43246404982354747</v>
      </c>
      <c r="G8" s="9">
        <f t="shared" si="1"/>
        <v>4.7498078513734207E-2</v>
      </c>
      <c r="H8" s="90">
        <f t="shared" si="2"/>
        <v>0.10983127622542085</v>
      </c>
    </row>
    <row r="10" spans="1:9" x14ac:dyDescent="0.35">
      <c r="A10" s="78" t="s">
        <v>133</v>
      </c>
    </row>
    <row r="11" spans="1:9" x14ac:dyDescent="0.35">
      <c r="A11" s="36" t="s">
        <v>134</v>
      </c>
    </row>
    <row r="12" spans="1:9" x14ac:dyDescent="0.35">
      <c r="A12" s="3" t="s">
        <v>125</v>
      </c>
    </row>
    <row r="13" spans="1:9" x14ac:dyDescent="0.35">
      <c r="A13" s="3" t="s">
        <v>132</v>
      </c>
    </row>
    <row r="14" spans="1:9" x14ac:dyDescent="0.35">
      <c r="A14" t="s">
        <v>126</v>
      </c>
      <c r="B14">
        <v>-12.86742542</v>
      </c>
      <c r="C14">
        <v>12.862687279999999</v>
      </c>
    </row>
    <row r="15" spans="1:9" x14ac:dyDescent="0.35">
      <c r="A15" t="s">
        <v>127</v>
      </c>
      <c r="B15">
        <v>-12.04629662</v>
      </c>
      <c r="C15">
        <v>12.045403289999999</v>
      </c>
    </row>
    <row r="16" spans="1:9" x14ac:dyDescent="0.35">
      <c r="A16" t="s">
        <v>131</v>
      </c>
    </row>
    <row r="17" spans="1:10" x14ac:dyDescent="0.35">
      <c r="A17" t="s">
        <v>123</v>
      </c>
    </row>
    <row r="18" spans="1:10" x14ac:dyDescent="0.35">
      <c r="A18" t="s">
        <v>124</v>
      </c>
    </row>
    <row r="20" spans="1:10" ht="15" thickBot="1" x14ac:dyDescent="0.4"/>
    <row r="21" spans="1:10" ht="29" x14ac:dyDescent="0.35">
      <c r="A21" s="86" t="s">
        <v>62</v>
      </c>
      <c r="B21" s="77" t="s">
        <v>129</v>
      </c>
      <c r="C21" s="77" t="s">
        <v>130</v>
      </c>
      <c r="D21" s="77" t="s">
        <v>128</v>
      </c>
      <c r="E21" s="77" t="s">
        <v>122</v>
      </c>
      <c r="F21" s="81" t="s">
        <v>145</v>
      </c>
      <c r="G21" s="81" t="s">
        <v>143</v>
      </c>
      <c r="H21" s="81" t="s">
        <v>144</v>
      </c>
    </row>
    <row r="22" spans="1:10" ht="31" x14ac:dyDescent="0.35">
      <c r="A22" s="82" t="s">
        <v>136</v>
      </c>
      <c r="B22" s="88">
        <f>B4/$I22*1000</f>
        <v>257.67131211761051</v>
      </c>
      <c r="C22" s="88">
        <f>C4/$I22*1000</f>
        <v>249.51801157256091</v>
      </c>
      <c r="D22" s="88">
        <f>D4/$I22*1000</f>
        <v>253.59111367384335</v>
      </c>
      <c r="E22" s="88">
        <f>E4/$I22*1000</f>
        <v>290.03253750359465</v>
      </c>
      <c r="F22" s="91">
        <f>AVERAGE(B22:C22,E22)</f>
        <v>265.74062039792199</v>
      </c>
      <c r="G22" s="92">
        <f>_xlfn.STDEV.P(B22:C22,E22)</f>
        <v>17.496514032727195</v>
      </c>
      <c r="H22" s="93">
        <f>G22/F22</f>
        <v>6.5840570427388126E-2</v>
      </c>
      <c r="I22" s="83">
        <v>0.42699999999999999</v>
      </c>
      <c r="J22" s="89" t="s">
        <v>140</v>
      </c>
    </row>
    <row r="23" spans="1:10" ht="31" x14ac:dyDescent="0.35">
      <c r="A23" s="84" t="s">
        <v>137</v>
      </c>
      <c r="B23" s="88">
        <f>B22*2.69E+24*2479*3.85E-24/(0.00204*1010000)/4</f>
        <v>802.68301398299059</v>
      </c>
      <c r="C23" s="88">
        <f>C22*2.69E+24*2479*3.85E-24/(0.00204*1010000)/4</f>
        <v>777.28431592217407</v>
      </c>
      <c r="D23" s="88">
        <f>D22*2.69E+24*2479*3.85E-24/(0.00204*1010000)/4</f>
        <v>789.97261189136441</v>
      </c>
      <c r="E23" s="88">
        <f>E22*2.69E+24*2479*3.85E-24/(0.00204*1010000)/4</f>
        <v>903.49286245051542</v>
      </c>
      <c r="F23" s="91">
        <f>AVERAGE(B23:C23,E23)</f>
        <v>827.82006411856003</v>
      </c>
      <c r="G23" s="92">
        <f>_xlfn.STDEV.P(B23:C23,E23)</f>
        <v>54.504145232803005</v>
      </c>
      <c r="H23" s="93">
        <f>G23/F23</f>
        <v>6.5840570427388126E-2</v>
      </c>
      <c r="I23" t="s">
        <v>142</v>
      </c>
      <c r="J23" s="89"/>
    </row>
    <row r="24" spans="1:10" ht="31" x14ac:dyDescent="0.35">
      <c r="A24" s="82" t="s">
        <v>138</v>
      </c>
      <c r="B24" s="39">
        <f>B7/$I24*1000</f>
        <v>13.972813027108304</v>
      </c>
      <c r="C24" s="39">
        <f>C7/$I24*1000</f>
        <v>10.606221313194578</v>
      </c>
      <c r="D24" s="39">
        <f>D7/$I24*1000</f>
        <v>12.285330713413137</v>
      </c>
      <c r="E24" s="39">
        <f>E7/$I24*1000</f>
        <v>12.624731276448674</v>
      </c>
      <c r="F24" s="91">
        <f>AVERAGE(B24:C24,E24)</f>
        <v>12.401255205583851</v>
      </c>
      <c r="G24" s="92">
        <f>_xlfn.STDEV.P(B24:C24,E24)</f>
        <v>1.383459698903452</v>
      </c>
      <c r="H24" s="93">
        <f>G24/F24</f>
        <v>0.11155803795413617</v>
      </c>
      <c r="I24" s="83">
        <v>2.9550000000000001</v>
      </c>
      <c r="J24" s="89" t="s">
        <v>140</v>
      </c>
    </row>
    <row r="25" spans="1:10" ht="31.5" thickBot="1" x14ac:dyDescent="0.4">
      <c r="A25" s="85" t="s">
        <v>139</v>
      </c>
      <c r="B25" s="87">
        <f>B24/B22*$I25</f>
        <v>110.6236404085622</v>
      </c>
      <c r="C25" s="87">
        <f>C24/C22*$I25</f>
        <v>86.713946390298545</v>
      </c>
      <c r="D25" s="87">
        <f>D24/D22*$I25</f>
        <v>98.828678545875334</v>
      </c>
      <c r="E25" s="87">
        <f>E24/E22*$I25</f>
        <v>88.798491457656183</v>
      </c>
      <c r="F25" s="91">
        <f>AVERAGE(B25:C25,E25)</f>
        <v>95.378692752172313</v>
      </c>
      <c r="G25" s="92">
        <f>_xlfn.STDEV.P(B25:C25,E25)</f>
        <v>10.813345267739262</v>
      </c>
      <c r="H25" s="93">
        <f>G25/F25</f>
        <v>0.1133727560707523</v>
      </c>
      <c r="I25" s="83">
        <v>2040</v>
      </c>
      <c r="J25" s="89" t="s">
        <v>141</v>
      </c>
    </row>
    <row r="26" spans="1:10" x14ac:dyDescent="0.35">
      <c r="F26" s="1"/>
      <c r="G26" s="9"/>
      <c r="H26" s="90"/>
    </row>
    <row r="27" spans="1:10" x14ac:dyDescent="0.35">
      <c r="F27" s="1"/>
      <c r="G27" s="9"/>
      <c r="H27" s="90"/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89E3-055C-4FD4-96DB-F71CA9E2F53C}">
  <dimension ref="A2:P39"/>
  <sheetViews>
    <sheetView showGridLines="0" topLeftCell="A21" zoomScaleNormal="100" workbookViewId="0">
      <selection activeCell="A16" sqref="A16:A22"/>
    </sheetView>
  </sheetViews>
  <sheetFormatPr defaultRowHeight="14.5" x14ac:dyDescent="0.35"/>
  <cols>
    <col min="1" max="1" width="14.54296875" customWidth="1"/>
    <col min="2" max="3" width="10.26953125" customWidth="1"/>
    <col min="4" max="4" width="8.26953125" customWidth="1"/>
    <col min="5" max="5" width="8" customWidth="1"/>
    <col min="6" max="7" width="7.81640625" customWidth="1"/>
    <col min="8" max="8" width="6.81640625" customWidth="1"/>
    <col min="9" max="10" width="7" customWidth="1"/>
    <col min="13" max="13" width="11" bestFit="1" customWidth="1"/>
    <col min="16" max="16" width="12" bestFit="1" customWidth="1"/>
  </cols>
  <sheetData>
    <row r="2" spans="1:15" x14ac:dyDescent="0.35">
      <c r="A2" s="33" t="s">
        <v>62</v>
      </c>
      <c r="B2" s="33" t="s">
        <v>48</v>
      </c>
      <c r="C2" s="33"/>
      <c r="D2" s="33" t="s">
        <v>49</v>
      </c>
      <c r="E2" s="33" t="s">
        <v>50</v>
      </c>
      <c r="F2" s="33"/>
      <c r="G2" s="33"/>
      <c r="H2" s="33" t="s">
        <v>56</v>
      </c>
      <c r="I2" s="33" t="s">
        <v>57</v>
      </c>
      <c r="J2" s="33" t="s">
        <v>57</v>
      </c>
    </row>
    <row r="3" spans="1:15" ht="25" customHeight="1" x14ac:dyDescent="0.35">
      <c r="A3" s="95" t="s">
        <v>51</v>
      </c>
      <c r="B3" s="95"/>
      <c r="C3" s="95"/>
      <c r="D3" s="95"/>
      <c r="E3" s="95"/>
      <c r="F3" s="95"/>
      <c r="G3" s="95"/>
      <c r="H3" s="95"/>
      <c r="I3" s="95"/>
      <c r="J3" s="47"/>
    </row>
    <row r="4" spans="1:15" x14ac:dyDescent="0.35">
      <c r="A4" s="35" t="s">
        <v>52</v>
      </c>
      <c r="B4" s="1">
        <f>'Observed (Moons)'!F3</f>
        <v>0.91</v>
      </c>
      <c r="C4" s="1"/>
      <c r="D4" s="1">
        <f>filtereffectivedataWV1!H2</f>
        <v>0.88044472617695901</v>
      </c>
      <c r="E4" s="1">
        <f>filtereffectivedataWV2!H2</f>
        <v>0.87752920200100104</v>
      </c>
      <c r="F4" s="1"/>
      <c r="G4" s="1"/>
      <c r="H4" s="1">
        <f t="shared" ref="H4:J7" si="0">$B4-D4</f>
        <v>2.9555273823041017E-2</v>
      </c>
      <c r="I4" s="1">
        <f t="shared" si="0"/>
        <v>3.247079799899899E-2</v>
      </c>
      <c r="J4" s="1">
        <f t="shared" si="0"/>
        <v>0.91</v>
      </c>
    </row>
    <row r="5" spans="1:15" x14ac:dyDescent="0.35">
      <c r="A5" s="36" t="s">
        <v>61</v>
      </c>
      <c r="B5" s="1">
        <f>'Observed (Moons)'!U3</f>
        <v>8.8683483203246274E-2</v>
      </c>
      <c r="C5" s="1"/>
      <c r="D5" s="1">
        <f>filtereffectivedataWV1!R2</f>
        <v>0.12696593966112824</v>
      </c>
      <c r="E5" s="1">
        <f>filtereffectivedataWV2!R2</f>
        <v>0.13004317472645083</v>
      </c>
      <c r="F5" s="1"/>
      <c r="G5" s="1"/>
      <c r="H5" s="1">
        <f t="shared" si="0"/>
        <v>-3.8282456457881961E-2</v>
      </c>
      <c r="I5" s="1">
        <f t="shared" si="0"/>
        <v>-4.1359691523204553E-2</v>
      </c>
      <c r="J5" s="1">
        <f t="shared" si="0"/>
        <v>8.8683483203246274E-2</v>
      </c>
    </row>
    <row r="6" spans="1:15" x14ac:dyDescent="0.35">
      <c r="A6" s="35" t="s">
        <v>60</v>
      </c>
      <c r="B6" s="29">
        <f>'Observed (Moons)'!S3</f>
        <v>207.10124349664011</v>
      </c>
      <c r="C6" s="29"/>
      <c r="D6" s="29">
        <f>filtereffectivedataWV1!P2</f>
        <v>279.53982372405875</v>
      </c>
      <c r="E6" s="29">
        <f>filtereffectivedataWV2!P2</f>
        <v>303.68792723640968</v>
      </c>
      <c r="F6" s="29"/>
      <c r="G6" s="29"/>
      <c r="H6" s="29">
        <f t="shared" si="0"/>
        <v>-72.43858022741864</v>
      </c>
      <c r="I6" s="29">
        <f t="shared" si="0"/>
        <v>-96.586683739769569</v>
      </c>
      <c r="J6" s="29">
        <f t="shared" si="0"/>
        <v>207.10124349664011</v>
      </c>
    </row>
    <row r="7" spans="1:15" x14ac:dyDescent="0.35">
      <c r="A7" s="35" t="s">
        <v>53</v>
      </c>
      <c r="B7" s="29">
        <f>'Observed (Moons)'!P3</f>
        <v>655.2176467363679</v>
      </c>
      <c r="C7" s="29"/>
      <c r="D7" s="29">
        <f>filtereffectivedataWV1!T2</f>
        <v>882.08805902839299</v>
      </c>
      <c r="E7" s="29">
        <f>filtereffectivedataWV2!T2</f>
        <v>958.28741221054611</v>
      </c>
      <c r="F7" s="29"/>
      <c r="G7" s="29"/>
      <c r="H7" s="29">
        <f t="shared" si="0"/>
        <v>-226.87041229202509</v>
      </c>
      <c r="I7" s="29">
        <f t="shared" si="0"/>
        <v>-303.06976547417821</v>
      </c>
      <c r="J7" s="29">
        <f t="shared" si="0"/>
        <v>655.2176467363679</v>
      </c>
    </row>
    <row r="8" spans="1:15" ht="25" customHeight="1" x14ac:dyDescent="0.35">
      <c r="A8" s="96" t="s">
        <v>58</v>
      </c>
      <c r="B8" s="96"/>
      <c r="C8" s="96"/>
      <c r="D8" s="96"/>
      <c r="E8" s="96"/>
      <c r="F8" s="96"/>
      <c r="G8" s="96"/>
      <c r="H8" s="96"/>
      <c r="I8" s="96"/>
      <c r="J8" s="47"/>
    </row>
    <row r="9" spans="1:15" x14ac:dyDescent="0.35">
      <c r="A9" s="35" t="s">
        <v>52</v>
      </c>
      <c r="B9" s="1">
        <f>'Observed (Moons)'!F5</f>
        <v>0.97199999999999998</v>
      </c>
      <c r="C9" s="1"/>
      <c r="D9" s="1">
        <f>filtereffectivedataWV1!H4</f>
        <v>0.959648622713281</v>
      </c>
      <c r="E9" s="1">
        <f>filtereffectivedataWV2!H4</f>
        <v>0.93961317715009796</v>
      </c>
      <c r="F9" s="1"/>
      <c r="G9" s="1"/>
      <c r="H9" s="1">
        <f t="shared" ref="H9:J12" si="1">$B9-D9</f>
        <v>1.2351377286718979E-2</v>
      </c>
      <c r="I9" s="1">
        <f t="shared" si="1"/>
        <v>3.2386822849902019E-2</v>
      </c>
      <c r="J9" s="1">
        <f t="shared" si="1"/>
        <v>0.97199999999999998</v>
      </c>
    </row>
    <row r="10" spans="1:15" x14ac:dyDescent="0.35">
      <c r="A10" s="36" t="s">
        <v>61</v>
      </c>
      <c r="B10" s="1">
        <f>'Observed (Moons)'!T5</f>
        <v>2.1299023391299219E-2</v>
      </c>
      <c r="C10" s="1"/>
      <c r="D10" s="1">
        <f>filtereffectivedataWV1!Q4</f>
        <v>3.3180758603853437E-2</v>
      </c>
      <c r="E10" s="1">
        <f>filtereffectivedataWV2!Q4</f>
        <v>5.3795863958974247E-2</v>
      </c>
      <c r="F10" s="1"/>
      <c r="G10" s="1"/>
      <c r="H10" s="1">
        <f t="shared" si="1"/>
        <v>-1.1881735212554218E-2</v>
      </c>
      <c r="I10" s="1">
        <f t="shared" si="1"/>
        <v>-3.2496840567675031E-2</v>
      </c>
      <c r="J10" s="1">
        <f t="shared" si="1"/>
        <v>2.1299023391299219E-2</v>
      </c>
    </row>
    <row r="11" spans="1:15" x14ac:dyDescent="0.35">
      <c r="A11" s="35" t="s">
        <v>60</v>
      </c>
      <c r="B11" s="28">
        <f>'Observed (Moons)'!R5</f>
        <v>7.1850095245126857</v>
      </c>
      <c r="C11" s="28"/>
      <c r="D11" s="28">
        <f>filtereffectivedataWV1!O4</f>
        <v>10.603775021817354</v>
      </c>
      <c r="E11" s="28">
        <f>filtereffectivedataWV2!O4</f>
        <v>18.147489104242968</v>
      </c>
      <c r="F11" s="28"/>
      <c r="G11" s="28"/>
      <c r="H11" s="28">
        <f t="shared" si="1"/>
        <v>-3.4187654973046682</v>
      </c>
      <c r="I11" s="28">
        <f t="shared" si="1"/>
        <v>-10.962479579730282</v>
      </c>
      <c r="J11" s="28">
        <f t="shared" si="1"/>
        <v>7.1850095245126857</v>
      </c>
    </row>
    <row r="12" spans="1:15" x14ac:dyDescent="0.35">
      <c r="A12" s="34" t="s">
        <v>59</v>
      </c>
      <c r="B12" s="31">
        <f>'Observed (Moons)'!Q15*1000000</f>
        <v>61.9</v>
      </c>
      <c r="C12" s="31"/>
      <c r="D12" s="31">
        <f>filtereffectivedataWV1!N14*1000000</f>
        <v>67.5</v>
      </c>
      <c r="E12" s="31">
        <f>filtereffectivedataWV2!N14*1000000</f>
        <v>108</v>
      </c>
      <c r="F12" s="31"/>
      <c r="G12" s="31"/>
      <c r="H12" s="31">
        <f t="shared" si="1"/>
        <v>-5.6000000000000014</v>
      </c>
      <c r="I12" s="31">
        <f t="shared" si="1"/>
        <v>-46.1</v>
      </c>
      <c r="J12" s="31">
        <f t="shared" si="1"/>
        <v>61.9</v>
      </c>
    </row>
    <row r="15" spans="1:15" x14ac:dyDescent="0.35">
      <c r="C15" s="50"/>
      <c r="D15" t="s">
        <v>118</v>
      </c>
      <c r="E15" t="s">
        <v>118</v>
      </c>
    </row>
    <row r="16" spans="1:15" s="30" customFormat="1" x14ac:dyDescent="0.35">
      <c r="A16" s="33" t="s">
        <v>62</v>
      </c>
      <c r="B16" s="67" t="s">
        <v>107</v>
      </c>
      <c r="C16" s="67" t="s">
        <v>108</v>
      </c>
      <c r="D16" s="33" t="s">
        <v>92</v>
      </c>
      <c r="E16" s="33" t="s">
        <v>50</v>
      </c>
      <c r="F16" s="67" t="s">
        <v>114</v>
      </c>
      <c r="G16" s="67" t="s">
        <v>115</v>
      </c>
      <c r="H16" s="33" t="s">
        <v>72</v>
      </c>
      <c r="I16" s="33" t="s">
        <v>73</v>
      </c>
      <c r="J16" s="33" t="s">
        <v>93</v>
      </c>
      <c r="L16" s="30" t="s">
        <v>113</v>
      </c>
      <c r="M16" s="46"/>
      <c r="O16" s="30" t="s">
        <v>112</v>
      </c>
    </row>
    <row r="17" spans="1:16" ht="16.5" x14ac:dyDescent="0.45">
      <c r="A17" s="35" t="s">
        <v>69</v>
      </c>
      <c r="B17" s="64">
        <f>'Observed (Moons)'!F3</f>
        <v>0.91</v>
      </c>
      <c r="C17" s="64">
        <f>'Observed VLT-MUSE MaximDL'!F4</f>
        <v>0.89310509181437114</v>
      </c>
      <c r="D17" s="50">
        <f>filtereffectivedataWV1!H2</f>
        <v>0.88044472617695901</v>
      </c>
      <c r="E17" s="50">
        <f>filtereffectivedataWV2!H2</f>
        <v>0.87752920200100104</v>
      </c>
      <c r="F17" s="64">
        <f>'Modeled (Moons)'!H3</f>
        <v>0.88158708501010896</v>
      </c>
      <c r="G17" s="64">
        <f>'Modeled VLT-MUSE Karkoschka'!G3</f>
        <v>0.87063612496085896</v>
      </c>
      <c r="H17" s="1">
        <f t="shared" ref="H17:H22" si="2">$B17-D17</f>
        <v>2.9555273823041017E-2</v>
      </c>
      <c r="I17" s="1">
        <f t="shared" ref="I17:J22" si="3">$B17-E17</f>
        <v>3.247079799899899E-2</v>
      </c>
      <c r="J17" s="1">
        <f t="shared" si="3"/>
        <v>2.8412914989891069E-2</v>
      </c>
      <c r="L17" t="s">
        <v>79</v>
      </c>
      <c r="M17" t="s">
        <v>80</v>
      </c>
      <c r="O17" t="s">
        <v>79</v>
      </c>
      <c r="P17" t="s">
        <v>80</v>
      </c>
    </row>
    <row r="18" spans="1:16" ht="16.5" x14ac:dyDescent="0.45">
      <c r="A18" s="36" t="s">
        <v>71</v>
      </c>
      <c r="B18" s="64">
        <f>'Observed (Moons)'!I3</f>
        <v>9.431067947124129E-2</v>
      </c>
      <c r="C18" s="64">
        <f>'Observed VLT-MUSE MaximDL'!G4</f>
        <v>0.11305102102720174</v>
      </c>
      <c r="D18" s="50">
        <f>filtereffectivedataWV1!R2</f>
        <v>0.12696593966112824</v>
      </c>
      <c r="E18" s="50">
        <f>filtereffectivedataWV2!R2</f>
        <v>0.13004317472645083</v>
      </c>
      <c r="F18" s="64">
        <f>'Modeled (Moons)'!I3</f>
        <v>0.12603149018023099</v>
      </c>
      <c r="G18" s="64">
        <f>'Modeled VLT-MUSE Karkoschka'!H3</f>
        <v>0.13853115639806601</v>
      </c>
      <c r="H18" s="1">
        <f t="shared" si="2"/>
        <v>-3.2655260189886945E-2</v>
      </c>
      <c r="I18" s="1">
        <f t="shared" si="3"/>
        <v>-3.5732495255209537E-2</v>
      </c>
      <c r="J18" s="1">
        <f t="shared" si="3"/>
        <v>-3.1720810708989702E-2</v>
      </c>
      <c r="L18" s="66">
        <v>-13.485223550000001</v>
      </c>
      <c r="M18" s="73">
        <v>13.478199330000001</v>
      </c>
      <c r="N18" s="66" t="s">
        <v>91</v>
      </c>
      <c r="O18" s="66">
        <v>-12.741159680000001</v>
      </c>
      <c r="P18" s="66">
        <v>12.733235349999999</v>
      </c>
    </row>
    <row r="19" spans="1:16" ht="16.5" x14ac:dyDescent="0.45">
      <c r="A19" s="36" t="s">
        <v>78</v>
      </c>
      <c r="B19" s="64">
        <f>B17*$L$18+$M$18</f>
        <v>1.2066458994999998</v>
      </c>
      <c r="C19" s="64">
        <f>C17*$O$18+$P$18</f>
        <v>1.3540407641720353</v>
      </c>
      <c r="D19" s="50">
        <f>D17*$L$18+$M$18</f>
        <v>1.6052053740851715</v>
      </c>
      <c r="E19" s="50">
        <f>E17*$L$18+$M$18</f>
        <v>1.644521869363393</v>
      </c>
      <c r="F19" s="64">
        <f>F17*$L$18+$M$18</f>
        <v>1.5898004098458269</v>
      </c>
      <c r="G19" s="64">
        <f>G17*$O$18+$P$18</f>
        <v>1.6403214586972616</v>
      </c>
      <c r="H19" s="1">
        <f t="shared" si="2"/>
        <v>-0.39855947458517171</v>
      </c>
      <c r="I19" s="1">
        <f t="shared" si="3"/>
        <v>-0.43787596986339317</v>
      </c>
      <c r="J19" s="1">
        <f t="shared" si="3"/>
        <v>-0.38315451034582715</v>
      </c>
      <c r="M19" s="46"/>
    </row>
    <row r="20" spans="1:16" ht="16.5" x14ac:dyDescent="0.45">
      <c r="A20" s="35" t="s">
        <v>68</v>
      </c>
      <c r="B20" s="64">
        <f>'Observed (Moons)'!F5</f>
        <v>0.97199999999999998</v>
      </c>
      <c r="C20" s="64">
        <f>'Observed VLT-MUSE MaximDL'!F5</f>
        <v>0.96174116545752397</v>
      </c>
      <c r="D20" s="50">
        <f>filtereffectivedataWV1!H4</f>
        <v>0.959648622713281</v>
      </c>
      <c r="E20" s="50">
        <f>filtereffectivedataWV2!H4</f>
        <v>0.93961317715009796</v>
      </c>
      <c r="F20" s="64">
        <f>'Modeled (Moons)'!H4</f>
        <v>0.96288907914727495</v>
      </c>
      <c r="G20" s="64">
        <f>'Modeled VLT-MUSE Karkoschka'!G4</f>
        <v>0.95273936474507703</v>
      </c>
      <c r="H20" s="1">
        <f t="shared" si="2"/>
        <v>1.2351377286718979E-2</v>
      </c>
      <c r="I20" s="1">
        <f t="shared" si="3"/>
        <v>3.2386822849902019E-2</v>
      </c>
      <c r="J20" s="1">
        <f t="shared" si="3"/>
        <v>9.1109208527250241E-3</v>
      </c>
      <c r="L20" t="s">
        <v>79</v>
      </c>
      <c r="M20" t="s">
        <v>80</v>
      </c>
    </row>
    <row r="21" spans="1:16" ht="16.5" x14ac:dyDescent="0.45">
      <c r="A21" s="36" t="s">
        <v>70</v>
      </c>
      <c r="B21" s="64">
        <f>'Observed (Moons)'!I5</f>
        <v>2.8399474521698002E-2</v>
      </c>
      <c r="C21" s="64">
        <f>'Observed VLT-MUSE MaximDL'!G5</f>
        <v>3.9009923295199561E-2</v>
      </c>
      <c r="D21" s="50">
        <f>filtereffectivedataWV1!Q4</f>
        <v>3.3180758603853437E-2</v>
      </c>
      <c r="E21" s="50">
        <f>filtereffectivedataWV2!Q4</f>
        <v>5.3795863958974247E-2</v>
      </c>
      <c r="F21" s="64">
        <f>'Modeled (Moons)'!I4</f>
        <v>3.7817056427304901E-2</v>
      </c>
      <c r="G21" s="64">
        <f>'Modeled VLT-MUSE Karkoschka'!H4</f>
        <v>4.8413901982595701E-2</v>
      </c>
      <c r="H21" s="1">
        <f t="shared" si="2"/>
        <v>-4.7812840821554355E-3</v>
      </c>
      <c r="I21" s="1">
        <f t="shared" si="3"/>
        <v>-2.5396389437276245E-2</v>
      </c>
      <c r="J21" s="1">
        <f t="shared" si="3"/>
        <v>-9.4175819056068998E-3</v>
      </c>
      <c r="L21" s="66">
        <v>-12.828318729999999</v>
      </c>
      <c r="M21" s="73">
        <v>12.82685019</v>
      </c>
      <c r="N21" s="66" t="s">
        <v>90</v>
      </c>
      <c r="O21" s="66">
        <v>-12.15343491</v>
      </c>
      <c r="P21" s="66">
        <v>12.15195684</v>
      </c>
    </row>
    <row r="22" spans="1:16" ht="16.5" x14ac:dyDescent="0.45">
      <c r="A22" s="43" t="s">
        <v>81</v>
      </c>
      <c r="B22" s="65">
        <f>B20*$L$21+$M$21</f>
        <v>0.35772438444000088</v>
      </c>
      <c r="C22" s="65">
        <f>C20*$O$21+$P$21</f>
        <v>0.46349818534444331</v>
      </c>
      <c r="D22" s="51">
        <f>D20*$L$21+$M$21</f>
        <v>0.51617178902851535</v>
      </c>
      <c r="E22" s="51">
        <f>E20*$L$21+$M$21</f>
        <v>0.7731928706105915</v>
      </c>
      <c r="F22" s="65">
        <f>F20*$L$21+$M$21</f>
        <v>0.47460218106256136</v>
      </c>
      <c r="G22" s="65">
        <f>G20*$O$21+$P$21</f>
        <v>0.57290098437595915</v>
      </c>
      <c r="H22" s="44">
        <f t="shared" si="2"/>
        <v>-0.15844740458851447</v>
      </c>
      <c r="I22" s="44">
        <f t="shared" si="3"/>
        <v>-0.41546848617059062</v>
      </c>
      <c r="J22" s="44">
        <f t="shared" si="3"/>
        <v>-0.11687779662256048</v>
      </c>
      <c r="M22" s="46"/>
    </row>
    <row r="23" spans="1:16" x14ac:dyDescent="0.35">
      <c r="C23" s="50"/>
      <c r="O23">
        <f>(C22-C23)/AVERAGE(C22:C23)</f>
        <v>1</v>
      </c>
    </row>
    <row r="25" spans="1:16" x14ac:dyDescent="0.35">
      <c r="A25" s="33" t="s">
        <v>62</v>
      </c>
      <c r="B25" s="33" t="s">
        <v>107</v>
      </c>
      <c r="C25" s="33" t="s">
        <v>108</v>
      </c>
      <c r="D25" s="33" t="s">
        <v>49</v>
      </c>
      <c r="E25" s="33" t="s">
        <v>50</v>
      </c>
      <c r="F25" s="33" t="s">
        <v>95</v>
      </c>
      <c r="G25" s="33"/>
      <c r="H25" s="33" t="s">
        <v>72</v>
      </c>
      <c r="I25" s="33" t="s">
        <v>73</v>
      </c>
      <c r="J25" s="33" t="s">
        <v>93</v>
      </c>
      <c r="M25" s="47"/>
    </row>
    <row r="26" spans="1:16" ht="16.5" x14ac:dyDescent="0.45">
      <c r="A26" s="35" t="s">
        <v>74</v>
      </c>
      <c r="B26" s="52">
        <f>'Observed (Moons)'!S3</f>
        <v>207.10124349664011</v>
      </c>
      <c r="C26" s="52">
        <f>'Observed VLT-MUSE MaximDL'!H3</f>
        <v>327.33653844608921</v>
      </c>
      <c r="D26" s="52">
        <f>filtereffectivedataWV1!P2</f>
        <v>279.53982372405875</v>
      </c>
      <c r="E26" s="52">
        <f>filtereffectivedataWV2!P2</f>
        <v>303.68792723640968</v>
      </c>
      <c r="F26" s="52">
        <f>'Modeled (Moons)'!S3</f>
        <v>293.54459688451749</v>
      </c>
      <c r="G26" s="52"/>
      <c r="H26" s="29">
        <f>$B26-D26</f>
        <v>-72.43858022741864</v>
      </c>
      <c r="I26" s="29">
        <f t="shared" ref="I26:J29" si="4">$B26-E26</f>
        <v>-96.586683739769569</v>
      </c>
      <c r="J26" s="29">
        <f t="shared" si="4"/>
        <v>-86.44335338787738</v>
      </c>
      <c r="L26" s="48" t="s">
        <v>94</v>
      </c>
    </row>
    <row r="27" spans="1:16" ht="16.5" x14ac:dyDescent="0.45">
      <c r="A27" s="35" t="s">
        <v>77</v>
      </c>
      <c r="B27" s="52">
        <f>'Observed (Moons)'!P3</f>
        <v>655.2176467363679</v>
      </c>
      <c r="C27" s="52">
        <f>'Observed VLT-MUSE MaximDL'!K3</f>
        <v>1032.9106171720507</v>
      </c>
      <c r="D27" s="52">
        <f>filtereffectivedataWV1!T2</f>
        <v>882.08805902839299</v>
      </c>
      <c r="E27" s="52">
        <f>filtereffectivedataWV2!T2</f>
        <v>958.28741221054611</v>
      </c>
      <c r="F27" s="52">
        <f>'Modeled (Moons)'!O3</f>
        <v>928.72533169006863</v>
      </c>
      <c r="G27" s="52"/>
      <c r="H27" s="29">
        <f>$B27-D27</f>
        <v>-226.87041229202509</v>
      </c>
      <c r="I27" s="29">
        <f t="shared" si="4"/>
        <v>-303.06976547417821</v>
      </c>
      <c r="J27" s="29">
        <f t="shared" si="4"/>
        <v>-273.50768495370073</v>
      </c>
    </row>
    <row r="28" spans="1:16" ht="16.5" x14ac:dyDescent="0.45">
      <c r="A28" s="35" t="s">
        <v>75</v>
      </c>
      <c r="B28" s="39">
        <f>'Observed (Moons)'!R5</f>
        <v>7.1850095245126857</v>
      </c>
      <c r="C28" s="39">
        <f>'Observed VLT-MUSE MaximDL'!H5</f>
        <v>12.466636317127744</v>
      </c>
      <c r="D28" s="39">
        <f>filtereffectivedataWV1!O4</f>
        <v>10.603775021817354</v>
      </c>
      <c r="E28" s="39">
        <f>filtereffectivedataWV2!O4</f>
        <v>18.147489104242968</v>
      </c>
      <c r="F28" s="39">
        <f>'Modeled (Moons)'!R4</f>
        <v>9.9920704658028487</v>
      </c>
      <c r="G28" s="39"/>
      <c r="H28" s="28">
        <f>$B28-D28</f>
        <v>-3.4187654973046682</v>
      </c>
      <c r="I28" s="28">
        <f t="shared" si="4"/>
        <v>-10.962479579730282</v>
      </c>
      <c r="J28" s="28">
        <f t="shared" si="4"/>
        <v>-2.807060941290163</v>
      </c>
      <c r="L28" s="48" t="s">
        <v>94</v>
      </c>
    </row>
    <row r="29" spans="1:16" ht="16.5" x14ac:dyDescent="0.45">
      <c r="A29" s="34" t="s">
        <v>76</v>
      </c>
      <c r="B29" s="53">
        <f>'Observed (Moons)'!Q15*1000000</f>
        <v>61.9</v>
      </c>
      <c r="C29" s="53">
        <f>'Observed VLT-MUSE MaximDL'!H8*1000000</f>
        <v>68.933984092086021</v>
      </c>
      <c r="D29" s="53">
        <f>filtereffectivedataWV1!N14*1000000</f>
        <v>67.5</v>
      </c>
      <c r="E29" s="53">
        <f>filtereffectivedataWV2!N14*1000000</f>
        <v>108</v>
      </c>
      <c r="F29" s="53">
        <f>'Modeled (Moons)'!Q15*1000000</f>
        <v>61.600000000000009</v>
      </c>
      <c r="G29" s="53"/>
      <c r="H29" s="31">
        <f>$B29-D29</f>
        <v>-5.6000000000000014</v>
      </c>
      <c r="I29" s="31">
        <f t="shared" si="4"/>
        <v>-46.1</v>
      </c>
      <c r="J29" s="31">
        <f t="shared" si="4"/>
        <v>0.29999999999999005</v>
      </c>
    </row>
    <row r="33" spans="1:2" x14ac:dyDescent="0.35">
      <c r="A33" t="s">
        <v>89</v>
      </c>
    </row>
    <row r="34" spans="1:2" x14ac:dyDescent="0.35">
      <c r="A34" t="s">
        <v>87</v>
      </c>
      <c r="B34">
        <f>-LN(0.858)</f>
        <v>0.15315117949417478</v>
      </c>
    </row>
    <row r="35" spans="1:2" x14ac:dyDescent="0.35">
      <c r="A35" t="s">
        <v>86</v>
      </c>
      <c r="B35">
        <f>-LN(0.928)</f>
        <v>7.4723546195936422E-2</v>
      </c>
    </row>
    <row r="36" spans="1:2" x14ac:dyDescent="0.35">
      <c r="A36" t="s">
        <v>46</v>
      </c>
      <c r="B36">
        <v>1.81E-3</v>
      </c>
    </row>
    <row r="37" spans="1:2" x14ac:dyDescent="0.35">
      <c r="A37" t="s">
        <v>4</v>
      </c>
      <c r="B37">
        <v>0.43</v>
      </c>
    </row>
    <row r="38" spans="1:2" x14ac:dyDescent="0.35">
      <c r="A38" t="s">
        <v>5</v>
      </c>
      <c r="B38">
        <v>2.96</v>
      </c>
    </row>
    <row r="39" spans="1:2" x14ac:dyDescent="0.35">
      <c r="A39" t="s">
        <v>88</v>
      </c>
      <c r="B39">
        <f>B36*(B35/B34)*(B37/B38)*1000000</f>
        <v>128.28989443628649</v>
      </c>
    </row>
  </sheetData>
  <mergeCells count="2">
    <mergeCell ref="A3:I3"/>
    <mergeCell ref="A8:I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4FD0-8187-4C33-A7D1-9E38C1AA4864}">
  <dimension ref="A1:T28"/>
  <sheetViews>
    <sheetView showGridLines="0" workbookViewId="0">
      <selection activeCell="G8" sqref="G8"/>
    </sheetView>
  </sheetViews>
  <sheetFormatPr defaultRowHeight="14.5" x14ac:dyDescent="0.35"/>
  <cols>
    <col min="1" max="1" width="11.54296875" customWidth="1"/>
    <col min="2" max="2" width="8.453125" customWidth="1"/>
    <col min="3" max="6" width="8.54296875" customWidth="1"/>
    <col min="7" max="7" width="10.453125" customWidth="1"/>
    <col min="8" max="9" width="8.81640625" bestFit="1" customWidth="1"/>
    <col min="10" max="11" width="10.453125" bestFit="1" customWidth="1"/>
    <col min="12" max="17" width="11" customWidth="1"/>
    <col min="18" max="18" width="9.26953125" customWidth="1"/>
  </cols>
  <sheetData>
    <row r="1" spans="1:20" ht="53.25" customHeight="1" x14ac:dyDescent="0.35">
      <c r="A1" t="s">
        <v>16</v>
      </c>
      <c r="B1" s="37" t="s">
        <v>63</v>
      </c>
      <c r="C1" s="42" t="s">
        <v>64</v>
      </c>
      <c r="D1" s="42" t="s">
        <v>65</v>
      </c>
      <c r="E1" s="42" t="s">
        <v>66</v>
      </c>
      <c r="F1" s="42" t="s">
        <v>67</v>
      </c>
      <c r="G1" s="37" t="s">
        <v>85</v>
      </c>
      <c r="H1" t="s">
        <v>22</v>
      </c>
      <c r="I1" t="s">
        <v>23</v>
      </c>
      <c r="J1" t="s">
        <v>24</v>
      </c>
      <c r="K1" t="s">
        <v>25</v>
      </c>
      <c r="L1" t="s">
        <v>35</v>
      </c>
      <c r="M1" t="s">
        <v>36</v>
      </c>
      <c r="N1" t="s">
        <v>37</v>
      </c>
      <c r="O1" s="11" t="s">
        <v>38</v>
      </c>
      <c r="P1" s="11" t="s">
        <v>39</v>
      </c>
      <c r="Q1" t="s">
        <v>40</v>
      </c>
      <c r="R1" t="s">
        <v>41</v>
      </c>
      <c r="S1" s="7" t="s">
        <v>54</v>
      </c>
      <c r="T1" s="7" t="s">
        <v>55</v>
      </c>
    </row>
    <row r="2" spans="1:20" x14ac:dyDescent="0.35">
      <c r="A2">
        <v>620</v>
      </c>
      <c r="B2" s="30" t="s">
        <v>26</v>
      </c>
      <c r="C2" s="38">
        <v>3.4742909999999898E-2</v>
      </c>
      <c r="D2" s="39">
        <v>619.75</v>
      </c>
      <c r="E2" s="38">
        <v>0.45419624999999902</v>
      </c>
      <c r="F2" s="39">
        <v>619.75</v>
      </c>
      <c r="G2" t="s">
        <v>82</v>
      </c>
      <c r="H2" s="4">
        <v>0.88044472617695901</v>
      </c>
      <c r="I2" s="1">
        <v>0.12732812851099101</v>
      </c>
      <c r="J2" s="1">
        <v>3833.4849635732699</v>
      </c>
      <c r="K2" s="45">
        <v>297.34751945062402</v>
      </c>
      <c r="L2" s="19">
        <f>J2/$K$18</f>
        <v>45325260.499123223</v>
      </c>
      <c r="M2" s="12">
        <f>K2/N$15</f>
        <v>164280.3974865326</v>
      </c>
      <c r="N2" s="12">
        <f>I2/(N$14*C2+N$15*E2)*1000</f>
        <v>154441.89156025345</v>
      </c>
      <c r="O2" s="13"/>
      <c r="P2" s="13">
        <f>N2*N15</f>
        <v>279.53982372405875</v>
      </c>
      <c r="Q2" s="4"/>
      <c r="R2" s="4">
        <f>N2*E2*N15/1000</f>
        <v>0.12696593966112824</v>
      </c>
      <c r="S2" s="2">
        <f>I2*2.2*$B$25/(224*$B$23*$B$22)/4</f>
        <v>899.14942228086102</v>
      </c>
      <c r="T2" s="2">
        <f>(P2)*$B$28/4</f>
        <v>882.08805902839299</v>
      </c>
    </row>
    <row r="3" spans="1:20" x14ac:dyDescent="0.35">
      <c r="A3">
        <v>632</v>
      </c>
      <c r="B3" s="30" t="s">
        <v>27</v>
      </c>
      <c r="C3" s="38">
        <v>0.1141101725</v>
      </c>
      <c r="D3" s="39">
        <v>631.75</v>
      </c>
      <c r="E3" s="38">
        <v>1.0710000000000001E-2</v>
      </c>
      <c r="F3" s="39">
        <v>631.75</v>
      </c>
      <c r="G3" t="s">
        <v>83</v>
      </c>
      <c r="H3" s="1">
        <v>0.99281966131418398</v>
      </c>
      <c r="I3" s="1">
        <v>7.2062413855533197E-3</v>
      </c>
      <c r="J3" s="1">
        <v>69.365002583469106</v>
      </c>
      <c r="K3" s="1">
        <v>384.71369137382902</v>
      </c>
      <c r="L3" s="19">
        <f t="shared" ref="L3:L10" si="0">J3/$K$18</f>
        <v>820138.03144998325</v>
      </c>
      <c r="M3" s="14">
        <f t="shared" ref="M3:M10" si="1">K3/N$15</f>
        <v>212549.00075902155</v>
      </c>
      <c r="N3" s="14"/>
      <c r="O3" s="15"/>
      <c r="P3" s="13"/>
      <c r="Q3" s="4"/>
      <c r="R3" s="1"/>
    </row>
    <row r="4" spans="1:20" x14ac:dyDescent="0.35">
      <c r="A4">
        <v>647</v>
      </c>
      <c r="B4" s="30" t="s">
        <v>28</v>
      </c>
      <c r="C4" s="38">
        <v>3.12914585</v>
      </c>
      <c r="D4" s="39">
        <v>646.75</v>
      </c>
      <c r="E4" s="38">
        <v>2.8161249999999999E-2</v>
      </c>
      <c r="F4" s="39">
        <v>646.75</v>
      </c>
      <c r="G4" t="s">
        <v>84</v>
      </c>
      <c r="H4" s="4">
        <v>0.959648622713281</v>
      </c>
      <c r="I4" s="1">
        <v>4.1188079528194303E-2</v>
      </c>
      <c r="J4" s="45">
        <v>13.8943808957622</v>
      </c>
      <c r="K4" s="1">
        <v>1475.2886485310901</v>
      </c>
      <c r="L4" s="57">
        <f t="shared" si="0"/>
        <v>164280.3974865326</v>
      </c>
      <c r="M4" s="14">
        <f t="shared" si="1"/>
        <v>815076.60139839235</v>
      </c>
      <c r="N4" s="12">
        <f>I4/(N$14*C4+N$15*E4)*1000</f>
        <v>157092.96328618302</v>
      </c>
      <c r="O4" s="13">
        <f>N4*N14</f>
        <v>10.603775021817354</v>
      </c>
      <c r="P4" s="13"/>
      <c r="Q4" s="4">
        <f>N4*C4*N14/1000</f>
        <v>3.3180758603853437E-2</v>
      </c>
      <c r="R4" s="1"/>
    </row>
    <row r="5" spans="1:20" x14ac:dyDescent="0.35">
      <c r="A5">
        <v>656</v>
      </c>
      <c r="B5" s="30" t="s">
        <v>29</v>
      </c>
      <c r="C5" s="38">
        <v>0.44720636666666602</v>
      </c>
      <c r="D5" s="39">
        <v>656.25</v>
      </c>
      <c r="E5" s="38">
        <v>6.8306249999999999E-2</v>
      </c>
      <c r="F5" s="39">
        <v>656.25</v>
      </c>
      <c r="G5" t="s">
        <v>83</v>
      </c>
      <c r="H5" s="1">
        <v>0.99548066889085396</v>
      </c>
      <c r="I5" s="1">
        <v>4.5295741587883199E-3</v>
      </c>
      <c r="J5" s="1">
        <v>9.8866031653561794</v>
      </c>
      <c r="K5" s="1">
        <v>56.943583835886002</v>
      </c>
      <c r="L5" s="19">
        <f t="shared" si="0"/>
        <v>116894.38413853328</v>
      </c>
      <c r="M5" s="14">
        <f t="shared" si="1"/>
        <v>31460.543555738124</v>
      </c>
      <c r="N5" s="14">
        <f>I5/(N$14*C5+N$15*E5)*1000</f>
        <v>29447.095967243138</v>
      </c>
      <c r="O5" s="15">
        <f>N5*N$14</f>
        <v>1.9876789777889119</v>
      </c>
      <c r="P5" s="15">
        <f>N5*N$15</f>
        <v>53.299243700710079</v>
      </c>
      <c r="Q5" s="4"/>
      <c r="R5" s="1"/>
    </row>
    <row r="6" spans="1:20" x14ac:dyDescent="0.35">
      <c r="A6">
        <v>658</v>
      </c>
      <c r="B6" s="30" t="s">
        <v>30</v>
      </c>
      <c r="C6" s="38">
        <v>0.25239495249029098</v>
      </c>
      <c r="D6" s="39">
        <v>657.38073894421098</v>
      </c>
      <c r="E6" s="38">
        <v>8.1309871930781999E-2</v>
      </c>
      <c r="F6" s="39">
        <v>657.38073894421098</v>
      </c>
      <c r="G6" t="s">
        <v>83</v>
      </c>
      <c r="H6" s="1">
        <v>1.0010282871801399</v>
      </c>
      <c r="I6" s="1">
        <v>-1.0277588550326501E-3</v>
      </c>
      <c r="J6" s="1">
        <v>-4.0720261831392497</v>
      </c>
      <c r="K6" s="1">
        <v>-12.6400255052371</v>
      </c>
      <c r="L6" s="19">
        <f t="shared" si="0"/>
        <v>-48145.655784182214</v>
      </c>
      <c r="M6" s="14">
        <f t="shared" si="1"/>
        <v>-6983.439505655856</v>
      </c>
      <c r="N6" s="12"/>
      <c r="O6" s="14"/>
      <c r="P6" s="12"/>
      <c r="Q6" s="4"/>
      <c r="R6" s="1"/>
    </row>
    <row r="7" spans="1:20" x14ac:dyDescent="0.35">
      <c r="A7">
        <v>672</v>
      </c>
      <c r="B7" s="32" t="s">
        <v>31</v>
      </c>
      <c r="C7" s="40">
        <v>3.0582468583102901E-2</v>
      </c>
      <c r="D7" s="41">
        <v>672.98148846381196</v>
      </c>
      <c r="E7" s="40">
        <v>6.3640925559714706E-2</v>
      </c>
      <c r="F7" s="41">
        <v>672.98148846381196</v>
      </c>
      <c r="G7" s="6" t="s">
        <v>83</v>
      </c>
      <c r="H7" s="1">
        <v>0.98908766403637904</v>
      </c>
      <c r="I7" s="1">
        <v>1.0972312221527799E-2</v>
      </c>
      <c r="J7" s="1">
        <v>358.77784658593902</v>
      </c>
      <c r="K7" s="1">
        <v>172.409689598753</v>
      </c>
      <c r="L7" s="19">
        <f t="shared" si="0"/>
        <v>4242014.6452496555</v>
      </c>
      <c r="M7" s="14">
        <f t="shared" si="1"/>
        <v>95253.972154007191</v>
      </c>
      <c r="N7" s="12"/>
      <c r="O7" s="14"/>
      <c r="P7" s="12"/>
      <c r="Q7" s="4"/>
      <c r="R7" s="1"/>
    </row>
    <row r="8" spans="1:20" x14ac:dyDescent="0.35">
      <c r="A8">
        <v>730</v>
      </c>
      <c r="B8" s="30" t="s">
        <v>32</v>
      </c>
      <c r="C8" s="38">
        <v>1.75022992484933</v>
      </c>
      <c r="D8" s="39">
        <v>729.376998207974</v>
      </c>
      <c r="E8" s="38">
        <v>2.5024397718246401</v>
      </c>
      <c r="F8" s="39">
        <v>729.376998207974</v>
      </c>
      <c r="G8" t="s">
        <v>82</v>
      </c>
      <c r="H8" s="1">
        <v>0.56598797182724003</v>
      </c>
      <c r="I8" s="1">
        <v>0.56918245219338404</v>
      </c>
      <c r="J8" s="1">
        <v>325.20438835622201</v>
      </c>
      <c r="K8" s="1">
        <v>227.45100945161499</v>
      </c>
      <c r="L8" s="19">
        <f t="shared" si="0"/>
        <v>3845058.4149322882</v>
      </c>
      <c r="M8" s="12">
        <f t="shared" si="1"/>
        <v>125663.54113348895</v>
      </c>
      <c r="N8" s="14">
        <f>I8/(N$14*C8+N$15*E8)*1000</f>
        <v>122469.18382695969</v>
      </c>
      <c r="O8" s="15">
        <f>N8*N$14</f>
        <v>8.2666699083197788</v>
      </c>
      <c r="P8" s="15">
        <f>N8*N$15</f>
        <v>221.66922272679705</v>
      </c>
      <c r="Q8" s="4"/>
      <c r="R8" s="4"/>
    </row>
    <row r="9" spans="1:20" x14ac:dyDescent="0.35">
      <c r="A9">
        <v>889</v>
      </c>
      <c r="B9" s="30" t="s">
        <v>33</v>
      </c>
      <c r="C9" s="38">
        <v>15.306579647424901</v>
      </c>
      <c r="D9" s="39">
        <v>889.91178756071997</v>
      </c>
      <c r="E9" s="38">
        <v>27.131714837508401</v>
      </c>
      <c r="F9" s="39">
        <v>889.91178756071997</v>
      </c>
      <c r="G9" t="s">
        <v>82</v>
      </c>
      <c r="H9" s="1">
        <v>9.0490058740224394E-2</v>
      </c>
      <c r="I9" s="1">
        <v>2.4025152824843201</v>
      </c>
      <c r="J9" s="1">
        <v>156.959643357586</v>
      </c>
      <c r="K9" s="1">
        <v>88.550071267996103</v>
      </c>
      <c r="L9" s="19">
        <f t="shared" si="0"/>
        <v>1855814.432724613</v>
      </c>
      <c r="M9" s="14">
        <f t="shared" si="1"/>
        <v>48922.691308285139</v>
      </c>
      <c r="N9" s="12"/>
      <c r="O9" s="14"/>
      <c r="P9" s="14"/>
      <c r="Q9" s="4"/>
      <c r="R9" s="1"/>
    </row>
    <row r="10" spans="1:20" x14ac:dyDescent="0.35">
      <c r="A10">
        <v>940</v>
      </c>
      <c r="B10" s="30" t="s">
        <v>34</v>
      </c>
      <c r="C10" s="38">
        <v>7.2667015255243497</v>
      </c>
      <c r="D10" s="39">
        <v>940.555792006621</v>
      </c>
      <c r="E10" s="38">
        <v>4.6336258468340601E-2</v>
      </c>
      <c r="F10" s="39">
        <v>940.555792006621</v>
      </c>
      <c r="G10" t="s">
        <v>83</v>
      </c>
      <c r="H10" s="1">
        <v>0.971665926935116</v>
      </c>
      <c r="I10" s="1">
        <v>2.87432301677111E-2</v>
      </c>
      <c r="J10" s="1">
        <v>3.9554714152976098</v>
      </c>
      <c r="K10" s="1">
        <v>620.31832344318502</v>
      </c>
      <c r="L10" s="19">
        <f t="shared" si="0"/>
        <v>46767.568935000236</v>
      </c>
      <c r="M10" s="14">
        <f t="shared" si="1"/>
        <v>342717.30576971546</v>
      </c>
      <c r="N10" s="14"/>
      <c r="O10" s="15"/>
      <c r="P10" s="15"/>
      <c r="Q10" s="4"/>
      <c r="R10" s="4"/>
    </row>
    <row r="11" spans="1:20" x14ac:dyDescent="0.35">
      <c r="L11" s="16"/>
      <c r="M11" s="16" t="s">
        <v>1</v>
      </c>
      <c r="N11" s="16"/>
      <c r="O11" s="16"/>
      <c r="P11" s="16"/>
    </row>
    <row r="12" spans="1:20" x14ac:dyDescent="0.35">
      <c r="L12" s="16"/>
      <c r="M12" s="16" t="s">
        <v>0</v>
      </c>
      <c r="N12" s="16"/>
      <c r="O12" s="16"/>
      <c r="P12" s="16"/>
    </row>
    <row r="13" spans="1:20" x14ac:dyDescent="0.35">
      <c r="N13" s="16"/>
      <c r="O13" s="16"/>
      <c r="P13" s="16"/>
    </row>
    <row r="14" spans="1:20" x14ac:dyDescent="0.35">
      <c r="N14" s="12">
        <v>6.7500000000000001E-5</v>
      </c>
      <c r="O14" s="12"/>
      <c r="P14" s="12"/>
      <c r="Q14" s="3"/>
    </row>
    <row r="15" spans="1:20" x14ac:dyDescent="0.35">
      <c r="N15" s="12">
        <v>1.81E-3</v>
      </c>
      <c r="O15" s="12"/>
      <c r="P15" s="12"/>
      <c r="Q15" s="2"/>
      <c r="R15" s="2"/>
    </row>
    <row r="17" spans="1:16" x14ac:dyDescent="0.35">
      <c r="J17" s="17" t="s">
        <v>42</v>
      </c>
      <c r="K17" s="1">
        <f>J4/K2</f>
        <v>4.6727751156065818E-2</v>
      </c>
      <c r="O17" s="17" t="s">
        <v>42</v>
      </c>
      <c r="P17" s="1">
        <f>O4/P2</f>
        <v>3.7932967405333362E-2</v>
      </c>
    </row>
    <row r="18" spans="1:16" x14ac:dyDescent="0.35">
      <c r="J18" s="17" t="s">
        <v>43</v>
      </c>
      <c r="K18" s="2">
        <f>$N$15*K17</f>
        <v>8.457722959247913E-5</v>
      </c>
      <c r="O18" s="17" t="s">
        <v>43</v>
      </c>
      <c r="P18" s="2">
        <f>$N$15*P17</f>
        <v>6.865867100365339E-5</v>
      </c>
    </row>
    <row r="21" spans="1:16" ht="16.5" x14ac:dyDescent="0.35">
      <c r="A21" t="s">
        <v>5</v>
      </c>
      <c r="B21">
        <v>2.964</v>
      </c>
      <c r="C21" t="s">
        <v>6</v>
      </c>
      <c r="G21" t="s">
        <v>5</v>
      </c>
    </row>
    <row r="22" spans="1:16" ht="16.5" x14ac:dyDescent="0.35">
      <c r="A22" t="s">
        <v>4</v>
      </c>
      <c r="B22">
        <v>0.42799999999999999</v>
      </c>
      <c r="C22" t="s">
        <v>6</v>
      </c>
      <c r="G22" t="s">
        <v>4</v>
      </c>
    </row>
    <row r="23" spans="1:16" x14ac:dyDescent="0.35">
      <c r="A23" t="s">
        <v>3</v>
      </c>
      <c r="B23" s="18">
        <v>1.81E-3</v>
      </c>
      <c r="G23" t="s">
        <v>3</v>
      </c>
    </row>
    <row r="24" spans="1:16" x14ac:dyDescent="0.35">
      <c r="A24" t="s">
        <v>7</v>
      </c>
      <c r="B24" s="2">
        <v>2.6899999999999998E+24</v>
      </c>
      <c r="C24" t="s">
        <v>8</v>
      </c>
      <c r="G24" t="s">
        <v>7</v>
      </c>
    </row>
    <row r="25" spans="1:16" x14ac:dyDescent="0.35">
      <c r="A25" t="s">
        <v>9</v>
      </c>
      <c r="B25">
        <v>2228</v>
      </c>
      <c r="C25" t="s">
        <v>10</v>
      </c>
      <c r="G25" t="s">
        <v>9</v>
      </c>
    </row>
    <row r="26" spans="1:16" x14ac:dyDescent="0.35">
      <c r="A26" t="s">
        <v>11</v>
      </c>
      <c r="B26" s="2">
        <v>3.8499999999999998E-24</v>
      </c>
      <c r="C26" s="2"/>
      <c r="G26" t="s">
        <v>11</v>
      </c>
    </row>
    <row r="27" spans="1:16" x14ac:dyDescent="0.35">
      <c r="A27" t="s">
        <v>12</v>
      </c>
      <c r="B27" s="2">
        <v>1010000</v>
      </c>
      <c r="C27" t="s">
        <v>13</v>
      </c>
      <c r="G27" t="s">
        <v>12</v>
      </c>
    </row>
    <row r="28" spans="1:16" x14ac:dyDescent="0.35">
      <c r="A28" t="s">
        <v>15</v>
      </c>
      <c r="B28" s="2">
        <f>B24*B25*B26/(B23*B27)</f>
        <v>12.622002078660904</v>
      </c>
      <c r="C28" t="s">
        <v>14</v>
      </c>
      <c r="G28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D906-DECF-495E-B648-BA86F65A43A8}">
  <dimension ref="A1:T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4.5" x14ac:dyDescent="0.35"/>
  <cols>
    <col min="3" max="3" width="8.81640625" bestFit="1" customWidth="1"/>
    <col min="4" max="4" width="9.453125" bestFit="1" customWidth="1"/>
    <col min="5" max="5" width="8.81640625" bestFit="1" customWidth="1"/>
    <col min="6" max="6" width="9.453125" bestFit="1" customWidth="1"/>
    <col min="7" max="7" width="14.81640625" customWidth="1"/>
    <col min="8" max="9" width="8.81640625" bestFit="1" customWidth="1"/>
    <col min="10" max="11" width="10.453125" bestFit="1" customWidth="1"/>
    <col min="12" max="17" width="11" customWidth="1"/>
    <col min="18" max="18" width="9.26953125" customWidth="1"/>
  </cols>
  <sheetData>
    <row r="1" spans="1:20" ht="43.5" x14ac:dyDescent="0.3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s="37" t="s">
        <v>85</v>
      </c>
      <c r="H1" t="s">
        <v>22</v>
      </c>
      <c r="I1" t="s">
        <v>23</v>
      </c>
      <c r="J1" t="s">
        <v>24</v>
      </c>
      <c r="K1" t="s">
        <v>25</v>
      </c>
      <c r="L1" t="s">
        <v>35</v>
      </c>
      <c r="M1" t="s">
        <v>36</v>
      </c>
      <c r="N1" t="s">
        <v>37</v>
      </c>
      <c r="O1" s="11" t="s">
        <v>38</v>
      </c>
      <c r="P1" s="11" t="s">
        <v>39</v>
      </c>
      <c r="Q1" t="s">
        <v>40</v>
      </c>
      <c r="R1" t="s">
        <v>41</v>
      </c>
      <c r="S1" s="7" t="s">
        <v>54</v>
      </c>
      <c r="T1" s="7" t="s">
        <v>55</v>
      </c>
    </row>
    <row r="2" spans="1:20" x14ac:dyDescent="0.35">
      <c r="A2">
        <v>620</v>
      </c>
      <c r="B2" t="s">
        <v>26</v>
      </c>
      <c r="C2" s="1">
        <v>3.3214719692628299E-2</v>
      </c>
      <c r="D2" s="1">
        <v>618.56807271012997</v>
      </c>
      <c r="E2" s="1">
        <v>0.42821318552191601</v>
      </c>
      <c r="F2" s="1">
        <v>618.56807271012997</v>
      </c>
      <c r="G2" t="s">
        <v>82</v>
      </c>
      <c r="H2" s="4">
        <v>0.87752920200100104</v>
      </c>
      <c r="I2" s="1">
        <v>0.13064504556221701</v>
      </c>
      <c r="J2" s="1">
        <v>3933.3478280478398</v>
      </c>
      <c r="K2" s="45">
        <v>305.09346741152802</v>
      </c>
      <c r="L2" s="19">
        <f t="shared" ref="L2:L10" si="0">J2/N$14</f>
        <v>36419887.296739258</v>
      </c>
      <c r="M2" s="12">
        <f>K2/N$15</f>
        <v>168559.92674670057</v>
      </c>
      <c r="N2" s="12">
        <f>I2/(N$14*C2+N$15*E2)*1000</f>
        <v>167783.38521348601</v>
      </c>
      <c r="O2" s="13"/>
      <c r="P2" s="13">
        <f>N2*N$15</f>
        <v>303.68792723640968</v>
      </c>
      <c r="Q2" s="4"/>
      <c r="R2" s="4">
        <f>N2*E2*N15/1000</f>
        <v>0.13004317472645083</v>
      </c>
      <c r="S2" s="2">
        <f>I2*2.2*$B$25/(224*$B$23*$B$22)/4</f>
        <v>922.57240104635787</v>
      </c>
      <c r="T2" s="2">
        <f>(P2)*$B$28/4</f>
        <v>958.28741221054611</v>
      </c>
    </row>
    <row r="3" spans="1:20" x14ac:dyDescent="0.35">
      <c r="A3">
        <v>632</v>
      </c>
      <c r="B3" t="s">
        <v>27</v>
      </c>
      <c r="C3" s="1">
        <v>0.10388872078368</v>
      </c>
      <c r="D3" s="1">
        <v>630.87519017272996</v>
      </c>
      <c r="E3" s="1">
        <v>1.8731439891883001E-2</v>
      </c>
      <c r="F3" s="1">
        <v>630.87519017272996</v>
      </c>
      <c r="G3" t="s">
        <v>83</v>
      </c>
      <c r="H3" s="1">
        <v>0.99264752022876701</v>
      </c>
      <c r="I3" s="1">
        <v>7.3796424746759596E-3</v>
      </c>
      <c r="J3" s="1">
        <v>71.034106676912501</v>
      </c>
      <c r="K3" s="1">
        <v>393.97091292879202</v>
      </c>
      <c r="L3" s="19">
        <f t="shared" si="0"/>
        <v>657723.20997141208</v>
      </c>
      <c r="M3" s="14">
        <f t="shared" ref="M3:M10" si="1">K3/N$15</f>
        <v>217663.48780596245</v>
      </c>
      <c r="N3" s="14"/>
      <c r="O3" s="15"/>
      <c r="P3" s="13"/>
      <c r="Q3" s="4"/>
      <c r="R3" s="1"/>
    </row>
    <row r="4" spans="1:20" x14ac:dyDescent="0.35">
      <c r="A4">
        <v>647</v>
      </c>
      <c r="B4" t="s">
        <v>28</v>
      </c>
      <c r="C4" s="1">
        <v>2.9643695417013101</v>
      </c>
      <c r="D4" s="1">
        <v>646.63311578422599</v>
      </c>
      <c r="E4" s="1">
        <v>2.7918658202382499E-2</v>
      </c>
      <c r="F4" s="1">
        <v>646.63311578422599</v>
      </c>
      <c r="G4" t="s">
        <v>84</v>
      </c>
      <c r="H4" s="4">
        <v>0.93961317715009796</v>
      </c>
      <c r="I4" s="1">
        <v>6.2287002083181699E-2</v>
      </c>
      <c r="J4" s="45">
        <v>21.011888432585199</v>
      </c>
      <c r="K4" s="1">
        <v>2231.0170364085102</v>
      </c>
      <c r="L4" s="20">
        <f>J4/N$14</f>
        <v>194554.52252393702</v>
      </c>
      <c r="M4" s="14">
        <f t="shared" si="1"/>
        <v>1232606.0974632653</v>
      </c>
      <c r="N4" s="12">
        <f>I4/(N$14*C4+N$15*E4)*1000</f>
        <v>168032.30652076824</v>
      </c>
      <c r="O4" s="13">
        <f>N4*N$14</f>
        <v>18.147489104242968</v>
      </c>
      <c r="P4" s="13"/>
      <c r="Q4" s="4">
        <f>N4*C4*N14/1000</f>
        <v>5.3795863958974247E-2</v>
      </c>
      <c r="R4" s="1"/>
    </row>
    <row r="5" spans="1:20" x14ac:dyDescent="0.35">
      <c r="A5">
        <v>656</v>
      </c>
      <c r="B5" t="s">
        <v>29</v>
      </c>
      <c r="C5" s="1">
        <v>0.45815272273296798</v>
      </c>
      <c r="D5" s="1">
        <v>657.28431530743296</v>
      </c>
      <c r="E5" s="1">
        <v>7.9544943497809301E-2</v>
      </c>
      <c r="F5" s="1">
        <v>657.28431530743296</v>
      </c>
      <c r="G5" t="s">
        <v>83</v>
      </c>
      <c r="H5" s="1">
        <v>0.96346228359668695</v>
      </c>
      <c r="I5" s="1">
        <v>3.7221937097139397E-2</v>
      </c>
      <c r="J5" s="1">
        <v>81.243513898822897</v>
      </c>
      <c r="K5" s="1">
        <v>467.93592980758802</v>
      </c>
      <c r="L5" s="19">
        <f t="shared" si="0"/>
        <v>752254.75832243427</v>
      </c>
      <c r="M5" s="14">
        <f t="shared" si="1"/>
        <v>258528.138015242</v>
      </c>
      <c r="N5" s="14">
        <f>I5/(N$14*C5+N$15*E5)*1000</f>
        <v>192404.34586581506</v>
      </c>
      <c r="O5" s="15">
        <f>N5*N$14</f>
        <v>20.779669353508027</v>
      </c>
      <c r="P5" s="15">
        <f>N5*N$15</f>
        <v>348.25186601712528</v>
      </c>
      <c r="Q5" s="4"/>
      <c r="R5" s="1"/>
    </row>
    <row r="6" spans="1:20" x14ac:dyDescent="0.35">
      <c r="A6">
        <v>658</v>
      </c>
      <c r="B6" t="s">
        <v>30</v>
      </c>
      <c r="C6" s="1">
        <v>0.25239495249029098</v>
      </c>
      <c r="D6" s="1">
        <v>657.38073894421098</v>
      </c>
      <c r="E6" s="1">
        <v>8.1309871930781999E-2</v>
      </c>
      <c r="F6" s="1">
        <v>657.38073894421098</v>
      </c>
      <c r="G6" t="s">
        <v>83</v>
      </c>
      <c r="H6" s="1">
        <v>0.96734603162176203</v>
      </c>
      <c r="I6" s="1">
        <v>3.3199007185006901E-2</v>
      </c>
      <c r="J6" s="1">
        <v>131.535939437156</v>
      </c>
      <c r="K6" s="1">
        <v>408.30229339518201</v>
      </c>
      <c r="L6" s="19">
        <f t="shared" si="0"/>
        <v>1217925.365158852</v>
      </c>
      <c r="M6" s="14">
        <f t="shared" si="1"/>
        <v>225581.37756639891</v>
      </c>
      <c r="N6" s="14"/>
      <c r="O6" s="14"/>
      <c r="P6" s="12"/>
      <c r="Q6" s="4"/>
      <c r="R6" s="1"/>
    </row>
    <row r="7" spans="1:20" x14ac:dyDescent="0.35">
      <c r="A7">
        <v>672</v>
      </c>
      <c r="B7" t="s">
        <v>31</v>
      </c>
      <c r="C7" s="1">
        <v>3.0582468583102901E-2</v>
      </c>
      <c r="D7" s="1">
        <v>672.98148846381196</v>
      </c>
      <c r="E7" s="1">
        <v>6.3640925559714706E-2</v>
      </c>
      <c r="F7" s="1">
        <v>672.98148846381196</v>
      </c>
      <c r="G7" s="6" t="s">
        <v>83</v>
      </c>
      <c r="H7" s="1">
        <v>0.97679037707128202</v>
      </c>
      <c r="I7" s="1">
        <v>2.3483207717294799E-2</v>
      </c>
      <c r="J7" s="1">
        <v>767.86501565375397</v>
      </c>
      <c r="K7" s="1">
        <v>368.99538325004897</v>
      </c>
      <c r="L7" s="19">
        <f t="shared" si="0"/>
        <v>7109861.2560532782</v>
      </c>
      <c r="M7" s="14">
        <f t="shared" si="1"/>
        <v>203864.85262433646</v>
      </c>
      <c r="N7" s="14"/>
      <c r="O7" s="14"/>
      <c r="P7" s="12"/>
      <c r="Q7" s="4"/>
      <c r="R7" s="1"/>
    </row>
    <row r="8" spans="1:20" x14ac:dyDescent="0.35">
      <c r="A8">
        <v>730</v>
      </c>
      <c r="B8" t="s">
        <v>32</v>
      </c>
      <c r="C8" s="1">
        <v>1.75022992484933</v>
      </c>
      <c r="D8" s="1">
        <v>729.376998207974</v>
      </c>
      <c r="E8" s="1">
        <v>2.5024397718246401</v>
      </c>
      <c r="F8" s="1">
        <v>729.376998207974</v>
      </c>
      <c r="G8" t="s">
        <v>82</v>
      </c>
      <c r="H8" s="1">
        <v>0.54980772609687001</v>
      </c>
      <c r="I8" s="1">
        <v>0.59818665079084998</v>
      </c>
      <c r="J8" s="1">
        <v>341.77603884949201</v>
      </c>
      <c r="K8" s="1">
        <v>239.04137774899701</v>
      </c>
      <c r="L8" s="19">
        <f t="shared" si="0"/>
        <v>3164592.9523101114</v>
      </c>
      <c r="M8" s="12">
        <f t="shared" si="1"/>
        <v>132067.05952983259</v>
      </c>
      <c r="N8" s="14">
        <f>I8/(N$14*C8+N$15*E8)*1000</f>
        <v>126776.33857279943</v>
      </c>
      <c r="O8" s="15">
        <f>N8*N$14</f>
        <v>13.691844565862338</v>
      </c>
      <c r="P8" s="15">
        <f>N8*N$15</f>
        <v>229.46517281676697</v>
      </c>
      <c r="Q8" s="4"/>
      <c r="R8" s="4"/>
    </row>
    <row r="9" spans="1:20" x14ac:dyDescent="0.35">
      <c r="A9">
        <v>889</v>
      </c>
      <c r="B9" t="s">
        <v>33</v>
      </c>
      <c r="C9" s="1">
        <v>15.306579647424901</v>
      </c>
      <c r="D9" s="1">
        <v>889.91178756071997</v>
      </c>
      <c r="E9" s="1">
        <v>27.131714837508401</v>
      </c>
      <c r="F9" s="1">
        <v>889.91178756071997</v>
      </c>
      <c r="G9" t="s">
        <v>82</v>
      </c>
      <c r="H9" s="1">
        <v>8.9475194194094596E-2</v>
      </c>
      <c r="I9" s="1">
        <v>2.41379385195973</v>
      </c>
      <c r="J9" s="1">
        <v>157.69648788687999</v>
      </c>
      <c r="K9" s="1">
        <v>88.965768157888803</v>
      </c>
      <c r="L9" s="19">
        <f t="shared" si="0"/>
        <v>1460152.6656192592</v>
      </c>
      <c r="M9" s="14">
        <f t="shared" si="1"/>
        <v>49152.358098281111</v>
      </c>
      <c r="N9" s="14"/>
      <c r="O9" s="14"/>
      <c r="P9" s="14"/>
      <c r="Q9" s="4"/>
      <c r="R9" s="1"/>
    </row>
    <row r="10" spans="1:20" x14ac:dyDescent="0.35">
      <c r="A10">
        <v>940</v>
      </c>
      <c r="B10" t="s">
        <v>34</v>
      </c>
      <c r="C10" s="1">
        <v>7.2667015255243497</v>
      </c>
      <c r="D10" s="1">
        <v>940.555792006621</v>
      </c>
      <c r="E10" s="1">
        <v>4.6336258468340601E-2</v>
      </c>
      <c r="F10" s="1">
        <v>940.555792006621</v>
      </c>
      <c r="G10" t="s">
        <v>83</v>
      </c>
      <c r="H10" s="1">
        <v>0.97054774427896695</v>
      </c>
      <c r="I10" s="1">
        <v>2.9894682035511301E-2</v>
      </c>
      <c r="J10" s="1">
        <v>4.1139273342253002</v>
      </c>
      <c r="K10" s="1">
        <v>645.16823376960701</v>
      </c>
      <c r="L10" s="19">
        <f t="shared" si="0"/>
        <v>38091.919761345373</v>
      </c>
      <c r="M10" s="14">
        <f t="shared" si="1"/>
        <v>356446.53799425805</v>
      </c>
      <c r="N10" s="14"/>
      <c r="O10" s="14"/>
      <c r="P10" s="14"/>
      <c r="Q10" s="4"/>
      <c r="R10" s="4"/>
    </row>
    <row r="11" spans="1:20" x14ac:dyDescent="0.35">
      <c r="L11" s="16"/>
      <c r="M11" s="16" t="s">
        <v>1</v>
      </c>
      <c r="N11" s="16"/>
      <c r="O11" s="16"/>
      <c r="P11" s="16"/>
    </row>
    <row r="12" spans="1:20" x14ac:dyDescent="0.35">
      <c r="L12" s="16"/>
      <c r="M12" s="16" t="s">
        <v>0</v>
      </c>
      <c r="N12" s="16"/>
      <c r="O12" s="16"/>
      <c r="P12" s="16"/>
    </row>
    <row r="13" spans="1:20" x14ac:dyDescent="0.35">
      <c r="N13" s="16"/>
      <c r="O13" s="16"/>
      <c r="P13" s="16"/>
    </row>
    <row r="14" spans="1:20" x14ac:dyDescent="0.35">
      <c r="N14" s="12">
        <v>1.08E-4</v>
      </c>
      <c r="O14" s="12"/>
      <c r="P14" s="12"/>
      <c r="Q14" s="3"/>
    </row>
    <row r="15" spans="1:20" x14ac:dyDescent="0.35">
      <c r="N15" s="12">
        <v>1.81E-3</v>
      </c>
      <c r="O15" s="12"/>
      <c r="P15" s="12"/>
      <c r="Q15" s="2"/>
      <c r="R15" s="2"/>
    </row>
    <row r="17" spans="1:16" x14ac:dyDescent="0.35">
      <c r="J17" s="17" t="s">
        <v>42</v>
      </c>
      <c r="K17" s="1">
        <f>J4/K2</f>
        <v>6.8870332134129658E-2</v>
      </c>
      <c r="O17" s="17" t="s">
        <v>42</v>
      </c>
      <c r="P17" s="1">
        <f>O4/P2</f>
        <v>5.9757031731181819E-2</v>
      </c>
    </row>
    <row r="18" spans="1:16" x14ac:dyDescent="0.35">
      <c r="J18" s="17" t="s">
        <v>43</v>
      </c>
      <c r="K18" s="2">
        <f>$N$15*K17</f>
        <v>1.2465530116277467E-4</v>
      </c>
      <c r="O18" s="17" t="s">
        <v>43</v>
      </c>
      <c r="P18" s="2">
        <f>$N$15*P17</f>
        <v>1.0816022743343909E-4</v>
      </c>
    </row>
    <row r="21" spans="1:16" ht="16.5" x14ac:dyDescent="0.35">
      <c r="A21" t="s">
        <v>5</v>
      </c>
      <c r="B21">
        <v>2.964</v>
      </c>
      <c r="C21" t="s">
        <v>6</v>
      </c>
    </row>
    <row r="22" spans="1:16" ht="16.5" x14ac:dyDescent="0.35">
      <c r="A22" t="s">
        <v>4</v>
      </c>
      <c r="B22">
        <v>0.42799999999999999</v>
      </c>
      <c r="C22" t="s">
        <v>6</v>
      </c>
    </row>
    <row r="23" spans="1:16" x14ac:dyDescent="0.35">
      <c r="A23" t="s">
        <v>3</v>
      </c>
      <c r="B23" s="18">
        <v>1.81E-3</v>
      </c>
    </row>
    <row r="24" spans="1:16" x14ac:dyDescent="0.35">
      <c r="A24" t="s">
        <v>7</v>
      </c>
      <c r="B24" s="2">
        <v>2.6899999999999998E+24</v>
      </c>
      <c r="C24" t="s">
        <v>8</v>
      </c>
    </row>
    <row r="25" spans="1:16" x14ac:dyDescent="0.35">
      <c r="A25" t="s">
        <v>9</v>
      </c>
      <c r="B25">
        <v>2228</v>
      </c>
      <c r="C25" t="s">
        <v>10</v>
      </c>
    </row>
    <row r="26" spans="1:16" x14ac:dyDescent="0.35">
      <c r="A26" t="s">
        <v>11</v>
      </c>
      <c r="B26" s="2">
        <v>3.8499999999999998E-24</v>
      </c>
      <c r="C26" s="2"/>
    </row>
    <row r="27" spans="1:16" x14ac:dyDescent="0.35">
      <c r="A27" t="s">
        <v>12</v>
      </c>
      <c r="B27" s="2">
        <v>1010000</v>
      </c>
      <c r="C27" t="s">
        <v>13</v>
      </c>
    </row>
    <row r="28" spans="1:16" x14ac:dyDescent="0.35">
      <c r="A28" t="s">
        <v>15</v>
      </c>
      <c r="B28" s="2">
        <f>B24*B25*B26/(B23*B27)</f>
        <v>12.622002078660904</v>
      </c>
      <c r="C28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8134-76B1-4DF2-B2D5-A6AD487B0E43}">
  <dimension ref="A1:U29"/>
  <sheetViews>
    <sheetView topLeftCell="I1" workbookViewId="0">
      <selection activeCell="K3" sqref="K3"/>
    </sheetView>
  </sheetViews>
  <sheetFormatPr defaultRowHeight="14.5" x14ac:dyDescent="0.35"/>
  <cols>
    <col min="8" max="11" width="8.7265625" customWidth="1"/>
    <col min="12" max="13" width="11" customWidth="1"/>
    <col min="17" max="20" width="11" customWidth="1"/>
    <col min="21" max="21" width="9.26953125" customWidth="1"/>
  </cols>
  <sheetData>
    <row r="1" spans="1:21" x14ac:dyDescent="0.35">
      <c r="I1" s="97" t="s">
        <v>99</v>
      </c>
      <c r="J1" s="97"/>
      <c r="K1" s="97"/>
      <c r="L1" s="97"/>
      <c r="M1" s="97"/>
      <c r="N1" s="97"/>
      <c r="O1" s="97"/>
    </row>
    <row r="2" spans="1:21" ht="58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85</v>
      </c>
      <c r="H2" t="s">
        <v>22</v>
      </c>
      <c r="I2" t="s">
        <v>23</v>
      </c>
      <c r="J2" s="25" t="s">
        <v>24</v>
      </c>
      <c r="K2" s="25" t="s">
        <v>25</v>
      </c>
      <c r="L2" s="25" t="s">
        <v>35</v>
      </c>
      <c r="M2" t="s">
        <v>36</v>
      </c>
      <c r="N2" s="27" t="s">
        <v>54</v>
      </c>
      <c r="O2" s="27" t="s">
        <v>55</v>
      </c>
      <c r="Q2" t="s">
        <v>37</v>
      </c>
      <c r="R2" s="11" t="s">
        <v>38</v>
      </c>
      <c r="S2" s="11" t="s">
        <v>39</v>
      </c>
      <c r="T2" t="s">
        <v>40</v>
      </c>
      <c r="U2" t="s">
        <v>41</v>
      </c>
    </row>
    <row r="3" spans="1:21" x14ac:dyDescent="0.35">
      <c r="A3">
        <v>620</v>
      </c>
      <c r="B3" t="s">
        <v>26</v>
      </c>
      <c r="C3">
        <v>3.3214719692628299E-2</v>
      </c>
      <c r="D3">
        <v>618.56807271012997</v>
      </c>
      <c r="E3">
        <v>0.42821318552191601</v>
      </c>
      <c r="F3">
        <v>618.56807271012997</v>
      </c>
      <c r="G3" t="s">
        <v>82</v>
      </c>
      <c r="H3" s="1">
        <v>0.88158708501010896</v>
      </c>
      <c r="I3" s="1">
        <v>0.12603149018023099</v>
      </c>
      <c r="J3" s="1">
        <v>3794.44690024595</v>
      </c>
      <c r="K3" s="45">
        <v>294.31949888843599</v>
      </c>
      <c r="L3" s="19"/>
      <c r="M3" s="59">
        <f>K3/Q$16</f>
        <v>162607.45794941214</v>
      </c>
      <c r="N3" s="2">
        <f>I3*2.2*$B$26/(224*$B$24*$B$23)/4</f>
        <v>889.99298827335542</v>
      </c>
      <c r="O3" s="2">
        <f>(K3)*$B$29/4</f>
        <v>928.72533169006863</v>
      </c>
      <c r="Q3" s="59">
        <f>I3/(Q$15*C3+Q$16*E3)*1000</f>
        <v>162179.33529531353</v>
      </c>
      <c r="R3" s="13"/>
      <c r="S3" s="13">
        <f>Q3*Q$16</f>
        <v>293.54459688451749</v>
      </c>
      <c r="T3" s="4"/>
      <c r="U3" s="4">
        <f>Q3*E3*Q16/1000</f>
        <v>0.12569966692466594</v>
      </c>
    </row>
    <row r="4" spans="1:21" x14ac:dyDescent="0.35">
      <c r="A4">
        <v>647</v>
      </c>
      <c r="B4" t="s">
        <v>28</v>
      </c>
      <c r="C4">
        <v>2.9643695417013101</v>
      </c>
      <c r="D4">
        <v>646.63311578422599</v>
      </c>
      <c r="E4">
        <v>2.7918658202382499E-2</v>
      </c>
      <c r="F4">
        <v>646.63311578422599</v>
      </c>
      <c r="G4" t="s">
        <v>84</v>
      </c>
      <c r="H4" s="1">
        <v>0.96288907914727495</v>
      </c>
      <c r="I4" s="1">
        <v>3.7817056427304901E-2</v>
      </c>
      <c r="J4" s="45">
        <v>12.7572004418858</v>
      </c>
      <c r="K4" s="1">
        <v>1354.5441959699001</v>
      </c>
      <c r="L4" s="58">
        <f>J4/K16</f>
        <v>162607.45794941214</v>
      </c>
      <c r="M4" s="14"/>
      <c r="Q4" s="59">
        <f>I4/(Q$15*C4+Q$16*E4)*1000</f>
        <v>162208.93613316311</v>
      </c>
      <c r="R4" s="13">
        <f>Q4*Q$15</f>
        <v>9.9920704658028487</v>
      </c>
      <c r="S4" s="13"/>
      <c r="T4" s="4"/>
      <c r="U4" s="1"/>
    </row>
    <row r="5" spans="1:21" x14ac:dyDescent="0.35">
      <c r="L5" s="20"/>
      <c r="M5" s="14"/>
      <c r="Q5" s="12"/>
      <c r="R5" s="13"/>
      <c r="S5" s="13"/>
      <c r="T5" s="4">
        <f>Q5*C5*Q15/1000</f>
        <v>0</v>
      </c>
      <c r="U5" s="1"/>
    </row>
    <row r="6" spans="1:21" x14ac:dyDescent="0.35">
      <c r="L6" s="19"/>
      <c r="M6" s="14"/>
      <c r="Q6" s="14"/>
      <c r="R6" s="15"/>
      <c r="S6" s="15"/>
      <c r="T6" s="4"/>
      <c r="U6" s="1"/>
    </row>
    <row r="7" spans="1:21" x14ac:dyDescent="0.35">
      <c r="L7" s="19"/>
      <c r="M7" s="14"/>
      <c r="Q7" s="14"/>
      <c r="R7" s="14"/>
      <c r="S7" s="12"/>
      <c r="T7" s="4"/>
      <c r="U7" s="1"/>
    </row>
    <row r="8" spans="1:21" x14ac:dyDescent="0.35">
      <c r="L8" s="19"/>
      <c r="M8" s="14"/>
      <c r="Q8" s="14"/>
      <c r="R8" s="14"/>
      <c r="S8" s="12"/>
      <c r="T8" s="4"/>
      <c r="U8" s="1"/>
    </row>
    <row r="9" spans="1:21" x14ac:dyDescent="0.35">
      <c r="L9" s="19"/>
      <c r="M9" s="12"/>
      <c r="Q9" s="14"/>
      <c r="R9" s="15"/>
      <c r="S9" s="15"/>
      <c r="T9" s="4"/>
      <c r="U9" s="4"/>
    </row>
    <row r="10" spans="1:21" x14ac:dyDescent="0.35">
      <c r="L10" s="19"/>
      <c r="M10" s="14"/>
      <c r="Q10" s="14"/>
      <c r="R10" s="14"/>
      <c r="S10" s="14"/>
      <c r="T10" s="4"/>
      <c r="U10" s="1"/>
    </row>
    <row r="11" spans="1:21" x14ac:dyDescent="0.35">
      <c r="L11" s="19"/>
      <c r="M11" s="14"/>
      <c r="Q11" s="14"/>
      <c r="R11" s="14"/>
      <c r="S11" s="14"/>
      <c r="T11" s="4"/>
      <c r="U11" s="4"/>
    </row>
    <row r="12" spans="1:21" x14ac:dyDescent="0.35">
      <c r="L12" s="16"/>
      <c r="M12" s="16" t="s">
        <v>1</v>
      </c>
      <c r="Q12" s="16"/>
      <c r="R12" s="16"/>
      <c r="S12" s="16"/>
    </row>
    <row r="13" spans="1:21" x14ac:dyDescent="0.35">
      <c r="L13" s="16"/>
      <c r="M13" s="16" t="s">
        <v>0</v>
      </c>
      <c r="Q13" s="16"/>
      <c r="R13" s="16"/>
      <c r="S13" s="16"/>
    </row>
    <row r="14" spans="1:21" x14ac:dyDescent="0.35">
      <c r="Q14" s="16"/>
      <c r="R14" s="16"/>
      <c r="S14" s="16"/>
    </row>
    <row r="15" spans="1:21" x14ac:dyDescent="0.35">
      <c r="J15" s="17" t="s">
        <v>97</v>
      </c>
      <c r="K15">
        <f>J4/K3</f>
        <v>4.3344734175160826E-2</v>
      </c>
      <c r="Q15" s="12">
        <v>6.1600000000000007E-5</v>
      </c>
      <c r="R15" s="12"/>
      <c r="S15" s="12"/>
      <c r="T15" s="3"/>
    </row>
    <row r="16" spans="1:21" x14ac:dyDescent="0.35">
      <c r="J16" s="17" t="s">
        <v>100</v>
      </c>
      <c r="K16" s="2">
        <f>K15*Q16</f>
        <v>7.8453968857041093E-5</v>
      </c>
      <c r="Q16" s="12">
        <v>1.81E-3</v>
      </c>
      <c r="R16" s="12"/>
      <c r="S16" s="12"/>
      <c r="T16" s="2"/>
      <c r="U16" s="2"/>
    </row>
    <row r="18" spans="1:19" x14ac:dyDescent="0.35">
      <c r="R18" s="17" t="s">
        <v>42</v>
      </c>
      <c r="S18" s="1">
        <f>R4/S3</f>
        <v>3.4039360873447791E-2</v>
      </c>
    </row>
    <row r="19" spans="1:19" x14ac:dyDescent="0.35">
      <c r="R19" s="17" t="s">
        <v>43</v>
      </c>
      <c r="S19" s="2">
        <f>$Q$16*S18</f>
        <v>6.1611243180940503E-5</v>
      </c>
    </row>
    <row r="22" spans="1:19" ht="16.5" x14ac:dyDescent="0.35">
      <c r="A22" t="s">
        <v>5</v>
      </c>
      <c r="B22">
        <v>2.964</v>
      </c>
      <c r="C22" t="s">
        <v>6</v>
      </c>
    </row>
    <row r="23" spans="1:19" ht="16.5" x14ac:dyDescent="0.35">
      <c r="A23" t="s">
        <v>4</v>
      </c>
      <c r="B23">
        <v>0.42799999999999999</v>
      </c>
      <c r="C23" t="s">
        <v>6</v>
      </c>
    </row>
    <row r="24" spans="1:19" x14ac:dyDescent="0.35">
      <c r="A24" t="s">
        <v>3</v>
      </c>
      <c r="B24" s="18">
        <v>1.81E-3</v>
      </c>
    </row>
    <row r="25" spans="1:19" x14ac:dyDescent="0.35">
      <c r="A25" t="s">
        <v>7</v>
      </c>
      <c r="B25" s="2">
        <v>2.6899999999999998E+24</v>
      </c>
      <c r="C25" t="s">
        <v>8</v>
      </c>
    </row>
    <row r="26" spans="1:19" x14ac:dyDescent="0.35">
      <c r="A26" t="s">
        <v>9</v>
      </c>
      <c r="B26">
        <v>2228</v>
      </c>
      <c r="C26" t="s">
        <v>10</v>
      </c>
    </row>
    <row r="27" spans="1:19" x14ac:dyDescent="0.35">
      <c r="A27" t="s">
        <v>11</v>
      </c>
      <c r="B27" s="2">
        <v>3.8499999999999998E-24</v>
      </c>
      <c r="C27" s="2"/>
    </row>
    <row r="28" spans="1:19" x14ac:dyDescent="0.35">
      <c r="A28" t="s">
        <v>12</v>
      </c>
      <c r="B28" s="2">
        <v>1010000</v>
      </c>
      <c r="C28" t="s">
        <v>13</v>
      </c>
    </row>
    <row r="29" spans="1:19" x14ac:dyDescent="0.35">
      <c r="A29" t="s">
        <v>15</v>
      </c>
      <c r="B29" s="2">
        <f>B25*B26*B27/(B24*B28)</f>
        <v>12.622002078660904</v>
      </c>
      <c r="C29" t="s">
        <v>14</v>
      </c>
    </row>
  </sheetData>
  <mergeCells count="1">
    <mergeCell ref="I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D118-7DAB-44F9-A6C2-13C8E628D16A}">
  <dimension ref="A1:AJ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defaultRowHeight="14.5" x14ac:dyDescent="0.35"/>
  <cols>
    <col min="1" max="1" width="6.1796875" customWidth="1"/>
    <col min="2" max="2" width="9.1796875" customWidth="1"/>
    <col min="3" max="5" width="6.1796875" customWidth="1"/>
    <col min="6" max="8" width="7" customWidth="1"/>
    <col min="9" max="9" width="7.453125" customWidth="1"/>
    <col min="10" max="10" width="8" customWidth="1"/>
    <col min="13" max="13" width="11.26953125" customWidth="1"/>
    <col min="14" max="14" width="10.7265625" customWidth="1"/>
    <col min="17" max="17" width="9.453125" bestFit="1" customWidth="1"/>
    <col min="25" max="25" width="9.7265625" customWidth="1"/>
  </cols>
  <sheetData>
    <row r="1" spans="1:36" x14ac:dyDescent="0.35">
      <c r="C1" s="98" t="s">
        <v>44</v>
      </c>
      <c r="D1" s="98"/>
      <c r="E1" s="98"/>
      <c r="F1" s="98"/>
      <c r="G1" s="98"/>
      <c r="H1" s="98"/>
      <c r="I1" s="97" t="s">
        <v>99</v>
      </c>
      <c r="J1" s="97"/>
      <c r="K1" s="97"/>
      <c r="L1" s="97"/>
      <c r="M1" s="97"/>
      <c r="N1" s="97"/>
      <c r="O1" s="97"/>
      <c r="P1" s="97"/>
    </row>
    <row r="2" spans="1:36" s="25" customFormat="1" ht="58" x14ac:dyDescent="0.35">
      <c r="A2" s="25" t="s">
        <v>16</v>
      </c>
      <c r="B2" s="25" t="s">
        <v>17</v>
      </c>
      <c r="C2" s="26">
        <v>2020</v>
      </c>
      <c r="D2" s="26">
        <v>2021</v>
      </c>
      <c r="E2" s="26">
        <v>2022</v>
      </c>
      <c r="F2" s="26" t="s">
        <v>1</v>
      </c>
      <c r="G2" s="26" t="s">
        <v>0</v>
      </c>
      <c r="H2" s="26" t="s">
        <v>2</v>
      </c>
      <c r="I2" s="27" t="s">
        <v>23</v>
      </c>
      <c r="J2" s="27" t="s">
        <v>45</v>
      </c>
      <c r="K2" s="25" t="s">
        <v>24</v>
      </c>
      <c r="L2" s="25" t="s">
        <v>25</v>
      </c>
      <c r="M2" s="25" t="s">
        <v>35</v>
      </c>
      <c r="N2" s="25" t="s">
        <v>36</v>
      </c>
      <c r="O2" s="27" t="s">
        <v>54</v>
      </c>
      <c r="P2" s="74" t="s">
        <v>55</v>
      </c>
      <c r="Q2" s="25" t="s">
        <v>37</v>
      </c>
      <c r="R2" s="11" t="s">
        <v>38</v>
      </c>
      <c r="S2" s="11" t="s">
        <v>39</v>
      </c>
      <c r="T2" s="25" t="s">
        <v>98</v>
      </c>
      <c r="U2" s="25" t="s">
        <v>96</v>
      </c>
      <c r="X2" s="27"/>
      <c r="Y2" s="27"/>
      <c r="Z2" s="27"/>
      <c r="AA2" s="27"/>
      <c r="AC2" s="27"/>
      <c r="AD2" s="27"/>
      <c r="AE2" s="27"/>
      <c r="AF2" s="27"/>
    </row>
    <row r="3" spans="1:36" x14ac:dyDescent="0.35">
      <c r="A3" s="3">
        <v>620</v>
      </c>
      <c r="B3" t="s">
        <v>26</v>
      </c>
      <c r="E3" s="1">
        <v>0.91</v>
      </c>
      <c r="F3" s="4">
        <f>AVERAGE(D3:E3)</f>
        <v>0.91</v>
      </c>
      <c r="G3" s="1">
        <f>_xlfn.STDEV.P(C3:E3)</f>
        <v>0</v>
      </c>
      <c r="I3" s="9">
        <f>-LN(F3)</f>
        <v>9.431067947124129E-2</v>
      </c>
      <c r="J3" s="1">
        <f>ABS((-LN(F3+H3)+LN(F3-H3))/2)</f>
        <v>0</v>
      </c>
      <c r="K3" s="1">
        <f>1000*I3/filtereffectivedataWV1!$C$4</f>
        <v>30.139432289882329</v>
      </c>
      <c r="L3" s="4">
        <f>1000*I3/filtereffectivedataWV1!$E$2</f>
        <v>207.6430165842221</v>
      </c>
      <c r="M3" s="24"/>
      <c r="N3" s="55">
        <f>L3/$B$21</f>
        <v>114719.89866531608</v>
      </c>
      <c r="O3" s="2">
        <f>I3*2.2*$B$23/(224*$B$21*$B$20)/4</f>
        <v>665.99104183143754</v>
      </c>
      <c r="P3" s="2">
        <f>(L3)*$B$26/4</f>
        <v>655.2176467363679</v>
      </c>
      <c r="Q3" s="59">
        <f>I3/(Q$15*filtereffectivedataWV1!$C$2+$B$21*filtereffectivedataWV1!$E$2)*1000</f>
        <v>114420.57651748073</v>
      </c>
      <c r="R3" s="22"/>
      <c r="S3" s="13">
        <f>Q3*$B$21</f>
        <v>207.10124349664011</v>
      </c>
      <c r="T3" s="21"/>
      <c r="U3" s="21">
        <f>Q3*filtereffectivedataWV2!$E$2*$B$21/1000</f>
        <v>8.8683483203246274E-2</v>
      </c>
      <c r="V3" s="2">
        <f>P3*2.2*$B$23/(224*$B$21*$B$20)/4</f>
        <v>4626931.8132668221</v>
      </c>
      <c r="W3" s="2">
        <f>(S3)*$B$26/4</f>
        <v>653.50808147696239</v>
      </c>
      <c r="Y3" s="2"/>
      <c r="Z3" s="2"/>
      <c r="AA3" s="2"/>
      <c r="AC3" s="2"/>
      <c r="AD3" s="2"/>
      <c r="AE3" s="2"/>
    </row>
    <row r="4" spans="1:36" x14ac:dyDescent="0.35">
      <c r="A4">
        <v>632</v>
      </c>
      <c r="B4" t="s">
        <v>27</v>
      </c>
      <c r="F4" s="3"/>
      <c r="G4" s="1"/>
      <c r="I4" s="9"/>
      <c r="M4" s="2"/>
      <c r="N4" s="2"/>
      <c r="Q4" s="12"/>
      <c r="R4" s="16"/>
      <c r="S4" s="16"/>
      <c r="T4" s="9"/>
      <c r="U4" s="1"/>
    </row>
    <row r="5" spans="1:36" x14ac:dyDescent="0.35">
      <c r="A5" s="3">
        <v>647</v>
      </c>
      <c r="B5" t="s">
        <v>28</v>
      </c>
      <c r="C5" s="49">
        <v>0.97599999999999998</v>
      </c>
      <c r="D5">
        <v>0.97099999999999997</v>
      </c>
      <c r="E5">
        <v>0.97299999999999998</v>
      </c>
      <c r="F5" s="4">
        <f>AVERAGE(D5:E5)</f>
        <v>0.97199999999999998</v>
      </c>
      <c r="G5" s="1">
        <f>_xlfn.STDEV.P(C5:E5)</f>
        <v>2.0548046676563273E-3</v>
      </c>
      <c r="H5" s="9">
        <f>G5/SQRT(COUNT(C5:E5))</f>
        <v>1.1863420280034801E-3</v>
      </c>
      <c r="I5" s="9">
        <f>-LN(F5)</f>
        <v>2.8399474521698002E-2</v>
      </c>
      <c r="J5" s="1">
        <f>ABS((-LN(F5+H5)+LN(F5-H5))/2)</f>
        <v>1.2205170957678077E-3</v>
      </c>
      <c r="K5" s="4">
        <f>1000*I5/filtereffectivedataWV1!$C$4</f>
        <v>9.0757912488157118</v>
      </c>
      <c r="L5" s="1">
        <f>1000*I5/filtereffectivedataWV1!$E$2</f>
        <v>62.526880223467415</v>
      </c>
      <c r="M5" s="56">
        <f>K5/L15</f>
        <v>114719.89866531608</v>
      </c>
      <c r="N5" s="2"/>
      <c r="O5" s="1"/>
      <c r="P5" s="1"/>
      <c r="Q5" s="59">
        <f>I5/(Q$15*filtereffectivedataWV1!$C$4+$B$21*filtereffectivedataWV1!$E$4)*1000</f>
        <v>116074.46727807246</v>
      </c>
      <c r="R5" s="13">
        <f>Q5*Q$15</f>
        <v>7.1850095245126857</v>
      </c>
      <c r="S5" s="23"/>
      <c r="T5" s="21">
        <f>Q5*filtereffectivedataWV2!$C$4*Q$15/1000</f>
        <v>2.1299023391299219E-2</v>
      </c>
      <c r="U5" s="1"/>
      <c r="X5" s="8"/>
      <c r="Y5" s="5"/>
      <c r="Z5" s="5"/>
      <c r="AA5" s="5"/>
      <c r="AB5" s="5"/>
      <c r="AC5" s="5"/>
      <c r="AD5" s="5"/>
      <c r="AE5" s="5"/>
      <c r="AJ5" s="2"/>
    </row>
    <row r="6" spans="1:36" x14ac:dyDescent="0.35">
      <c r="A6">
        <v>656</v>
      </c>
      <c r="B6" t="s">
        <v>29</v>
      </c>
      <c r="C6">
        <v>0.98899999999999999</v>
      </c>
      <c r="F6">
        <f>AVERAGE(C6:E6)</f>
        <v>0.98899999999999999</v>
      </c>
      <c r="G6" s="1">
        <f>_xlfn.STDEV.P(C6:E6)</f>
        <v>0</v>
      </c>
      <c r="J6" s="5"/>
      <c r="K6" s="1">
        <f>1000*I6/filtereffectivedataWV1!$C$4</f>
        <v>0</v>
      </c>
      <c r="L6" s="1">
        <f>1000*J6/filtereffectivedataWV1!$C$4</f>
        <v>0</v>
      </c>
      <c r="M6" s="2"/>
      <c r="N6" s="2"/>
      <c r="O6" s="1"/>
      <c r="P6" s="1"/>
      <c r="Q6" s="14"/>
      <c r="R6" s="23"/>
      <c r="S6" s="23"/>
      <c r="T6" s="9"/>
      <c r="U6" s="1"/>
      <c r="X6" s="8"/>
    </row>
    <row r="7" spans="1:36" x14ac:dyDescent="0.35">
      <c r="A7">
        <v>658</v>
      </c>
      <c r="B7" t="s">
        <v>30</v>
      </c>
      <c r="G7" s="1"/>
      <c r="O7" s="1"/>
      <c r="P7" s="1"/>
      <c r="Q7" s="14"/>
      <c r="R7" s="16"/>
      <c r="S7" s="16"/>
      <c r="T7" s="9"/>
      <c r="X7" s="8"/>
    </row>
    <row r="8" spans="1:36" x14ac:dyDescent="0.35">
      <c r="A8">
        <v>672</v>
      </c>
      <c r="B8" t="s">
        <v>31</v>
      </c>
      <c r="G8" s="1"/>
      <c r="O8" s="10"/>
      <c r="P8" s="10"/>
      <c r="Q8" s="14"/>
      <c r="R8" s="16"/>
      <c r="S8" s="16"/>
      <c r="T8" s="9"/>
      <c r="X8" s="10"/>
    </row>
    <row r="9" spans="1:36" x14ac:dyDescent="0.35">
      <c r="A9">
        <v>730</v>
      </c>
      <c r="B9" t="s">
        <v>32</v>
      </c>
      <c r="G9" s="1"/>
      <c r="M9" s="60"/>
      <c r="Q9" s="14"/>
      <c r="R9" s="16"/>
      <c r="S9" s="16"/>
      <c r="T9" s="9"/>
    </row>
    <row r="10" spans="1:36" x14ac:dyDescent="0.35">
      <c r="A10">
        <v>889</v>
      </c>
      <c r="B10" t="s">
        <v>33</v>
      </c>
      <c r="C10">
        <v>0.104</v>
      </c>
      <c r="D10">
        <v>0.104</v>
      </c>
      <c r="F10">
        <f>AVERAGE(C10:E10)</f>
        <v>0.104</v>
      </c>
      <c r="G10" s="1">
        <f>_xlfn.STDEV.P(C10:E10)</f>
        <v>0</v>
      </c>
      <c r="Q10" s="16"/>
      <c r="R10" s="16"/>
      <c r="S10" s="16"/>
    </row>
    <row r="11" spans="1:36" x14ac:dyDescent="0.35">
      <c r="A11">
        <v>940</v>
      </c>
      <c r="B11" t="s">
        <v>34</v>
      </c>
      <c r="Q11" s="16"/>
      <c r="R11" s="16"/>
      <c r="S11" s="16"/>
    </row>
    <row r="12" spans="1:36" x14ac:dyDescent="0.35">
      <c r="Q12" s="16"/>
      <c r="R12" s="16"/>
      <c r="S12" s="16"/>
    </row>
    <row r="13" spans="1:36" x14ac:dyDescent="0.35">
      <c r="Q13" s="16"/>
      <c r="R13" s="16"/>
      <c r="S13" s="16"/>
    </row>
    <row r="14" spans="1:36" x14ac:dyDescent="0.35">
      <c r="K14" s="17" t="s">
        <v>97</v>
      </c>
      <c r="L14" s="21">
        <f>K5/L3</f>
        <v>4.3708627422750237E-2</v>
      </c>
      <c r="N14" t="s">
        <v>47</v>
      </c>
      <c r="Q14" s="12"/>
      <c r="R14" s="12"/>
      <c r="S14" s="12"/>
      <c r="T14" s="24"/>
      <c r="U14" s="24"/>
    </row>
    <row r="15" spans="1:36" x14ac:dyDescent="0.35">
      <c r="K15" s="17" t="s">
        <v>100</v>
      </c>
      <c r="L15" s="2">
        <f>L14*$B$21</f>
        <v>7.9112615635177925E-5</v>
      </c>
      <c r="N15" t="s">
        <v>47</v>
      </c>
      <c r="Q15" s="54">
        <v>6.19E-5</v>
      </c>
      <c r="R15" s="12"/>
      <c r="S15" s="12"/>
      <c r="T15" s="24"/>
      <c r="U15" s="24"/>
    </row>
    <row r="16" spans="1:36" x14ac:dyDescent="0.35">
      <c r="L16" s="2"/>
    </row>
    <row r="17" spans="1:20" x14ac:dyDescent="0.35">
      <c r="S17" s="17"/>
      <c r="T17" s="21"/>
    </row>
    <row r="18" spans="1:20" x14ac:dyDescent="0.35">
      <c r="Q18" s="12"/>
      <c r="S18" s="17"/>
    </row>
    <row r="19" spans="1:20" ht="16.5" x14ac:dyDescent="0.35">
      <c r="A19" t="s">
        <v>5</v>
      </c>
      <c r="B19">
        <v>2.964</v>
      </c>
      <c r="C19" t="s">
        <v>6</v>
      </c>
      <c r="S19" s="17" t="s">
        <v>42</v>
      </c>
      <c r="T19" s="2">
        <f>Q15/$B$21</f>
        <v>3.4198895027624313E-2</v>
      </c>
    </row>
    <row r="20" spans="1:20" ht="16.5" x14ac:dyDescent="0.35">
      <c r="A20" t="s">
        <v>4</v>
      </c>
      <c r="B20">
        <v>0.42799999999999999</v>
      </c>
      <c r="C20" t="s">
        <v>6</v>
      </c>
      <c r="S20" s="17" t="s">
        <v>43</v>
      </c>
    </row>
    <row r="21" spans="1:20" x14ac:dyDescent="0.35">
      <c r="A21" t="s">
        <v>3</v>
      </c>
      <c r="B21" s="2">
        <v>1.81E-3</v>
      </c>
    </row>
    <row r="22" spans="1:20" x14ac:dyDescent="0.35">
      <c r="A22" t="s">
        <v>7</v>
      </c>
      <c r="B22" s="2">
        <v>2.6899999999999998E+24</v>
      </c>
      <c r="C22" t="s">
        <v>8</v>
      </c>
      <c r="E22" s="5"/>
      <c r="F22" s="5"/>
    </row>
    <row r="23" spans="1:20" x14ac:dyDescent="0.35">
      <c r="A23" t="s">
        <v>9</v>
      </c>
      <c r="B23">
        <v>2228</v>
      </c>
      <c r="C23" t="s">
        <v>10</v>
      </c>
      <c r="E23" s="5"/>
      <c r="F23" s="5"/>
      <c r="L23">
        <f>10000000/620</f>
        <v>16129.032258064517</v>
      </c>
    </row>
    <row r="24" spans="1:20" x14ac:dyDescent="0.35">
      <c r="A24" t="s">
        <v>11</v>
      </c>
      <c r="B24" s="2">
        <v>3.8499999999999998E-24</v>
      </c>
      <c r="C24" s="2"/>
      <c r="E24" s="5"/>
      <c r="F24" s="5"/>
      <c r="L24">
        <v>123</v>
      </c>
    </row>
    <row r="25" spans="1:20" x14ac:dyDescent="0.35">
      <c r="A25" t="s">
        <v>12</v>
      </c>
      <c r="B25" s="2">
        <v>1010000</v>
      </c>
      <c r="C25" t="s">
        <v>13</v>
      </c>
      <c r="E25" s="5"/>
      <c r="F25" s="5"/>
      <c r="L25">
        <f>SUM(L23:L24)</f>
        <v>16252.032258064517</v>
      </c>
    </row>
    <row r="26" spans="1:20" x14ac:dyDescent="0.35">
      <c r="A26" t="s">
        <v>15</v>
      </c>
      <c r="B26" s="2">
        <f>B22*B23*B24/(B21*B25)</f>
        <v>12.622002078660904</v>
      </c>
      <c r="C26" t="s">
        <v>14</v>
      </c>
      <c r="E26" s="5"/>
      <c r="F26" s="5"/>
      <c r="L26">
        <f>10000000/L25</f>
        <v>615.30766375619521</v>
      </c>
    </row>
    <row r="27" spans="1:20" x14ac:dyDescent="0.35">
      <c r="A27" s="2"/>
      <c r="B27" s="2"/>
      <c r="C27" s="2"/>
      <c r="E27" s="5"/>
      <c r="F27" s="5"/>
      <c r="L27">
        <f>L26-620</f>
        <v>-4.6923362438047889</v>
      </c>
    </row>
  </sheetData>
  <dataConsolidate/>
  <mergeCells count="2">
    <mergeCell ref="C1:H1"/>
    <mergeCell ref="I1:P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5485-8047-4EFF-93C7-3FA5C516909C}">
  <dimension ref="A1:O24"/>
  <sheetViews>
    <sheetView workbookViewId="0">
      <selection activeCell="F5" sqref="F5"/>
    </sheetView>
  </sheetViews>
  <sheetFormatPr defaultRowHeight="14.5" x14ac:dyDescent="0.35"/>
  <cols>
    <col min="3" max="3" width="14.26953125" customWidth="1"/>
    <col min="4" max="4" width="10.1796875" customWidth="1"/>
    <col min="5" max="5" width="9" bestFit="1" customWidth="1"/>
    <col min="8" max="8" width="12" bestFit="1" customWidth="1"/>
    <col min="10" max="10" width="12" bestFit="1" customWidth="1"/>
    <col min="15" max="15" width="12" bestFit="1" customWidth="1"/>
  </cols>
  <sheetData>
    <row r="1" spans="1:14" x14ac:dyDescent="0.35">
      <c r="A1" s="3" t="s">
        <v>121</v>
      </c>
    </row>
    <row r="2" spans="1:14" x14ac:dyDescent="0.35">
      <c r="C2" t="s">
        <v>101</v>
      </c>
      <c r="D2" t="s">
        <v>102</v>
      </c>
      <c r="E2" t="s">
        <v>83</v>
      </c>
      <c r="F2" t="s">
        <v>22</v>
      </c>
      <c r="G2" t="s">
        <v>23</v>
      </c>
      <c r="H2" t="s">
        <v>103</v>
      </c>
      <c r="I2" t="s">
        <v>104</v>
      </c>
      <c r="J2" t="s">
        <v>105</v>
      </c>
      <c r="K2" t="s">
        <v>106</v>
      </c>
    </row>
    <row r="3" spans="1:14" x14ac:dyDescent="0.35">
      <c r="A3">
        <v>620</v>
      </c>
      <c r="B3" t="s">
        <v>109</v>
      </c>
      <c r="C3" s="60">
        <v>20986630</v>
      </c>
      <c r="E3" s="2">
        <f>(A3-A4)*D4+C4</f>
        <v>24350700</v>
      </c>
      <c r="F3" s="1">
        <f>C3/E3</f>
        <v>0.86184914602044294</v>
      </c>
      <c r="G3" s="1">
        <f>-LN(F3)</f>
        <v>0.14867502825019424</v>
      </c>
      <c r="H3">
        <f>1000*G3/filtereffectivedataWV1!$E$2</f>
        <v>327.33653844608921</v>
      </c>
      <c r="I3" s="2">
        <f>H3/$C$19</f>
        <v>180848.91626855757</v>
      </c>
      <c r="J3" s="2">
        <f>G3*2.2*$C$21/(224*$C$19*$C$18)/4</f>
        <v>1049.8942167929017</v>
      </c>
      <c r="K3" s="62">
        <f>(H3)*$C$24/4</f>
        <v>1032.9106171720507</v>
      </c>
    </row>
    <row r="4" spans="1:14" x14ac:dyDescent="0.35">
      <c r="A4">
        <v>632</v>
      </c>
      <c r="B4" t="s">
        <v>109</v>
      </c>
      <c r="C4" s="60">
        <v>23498500</v>
      </c>
      <c r="D4" s="2">
        <f>(C6-C4)/(A6-A4)</f>
        <v>-71016.666666666672</v>
      </c>
      <c r="F4" s="4">
        <f>C3/C4</f>
        <v>0.89310509181437114</v>
      </c>
      <c r="G4" s="4">
        <f>-LN(F4)</f>
        <v>0.11305102102720174</v>
      </c>
      <c r="H4" s="3">
        <f>1000*G4/filtereffectivedataWV1!$E$2</f>
        <v>248.9034663478661</v>
      </c>
      <c r="K4" s="62">
        <f>(H4)*$C$24/4</f>
        <v>785.41501740716751</v>
      </c>
    </row>
    <row r="5" spans="1:14" x14ac:dyDescent="0.35">
      <c r="A5">
        <v>647</v>
      </c>
      <c r="B5" t="s">
        <v>109</v>
      </c>
      <c r="C5" s="60">
        <v>21574980</v>
      </c>
      <c r="E5" s="2">
        <f>(A5-A4)*D4+C4</f>
        <v>22433250</v>
      </c>
      <c r="F5" s="72">
        <f>C5/E5</f>
        <v>0.96174116545752397</v>
      </c>
      <c r="G5" s="1">
        <f>-LN(F5)</f>
        <v>3.9009923295199561E-2</v>
      </c>
      <c r="H5">
        <f>1000*G5/filtereffectivedataWV1!$C$4</f>
        <v>12.466636317127744</v>
      </c>
      <c r="I5" s="2">
        <f>H5/H8</f>
        <v>180848.91626855757</v>
      </c>
      <c r="M5">
        <f>310*0.06</f>
        <v>18.599999999999998</v>
      </c>
    </row>
    <row r="6" spans="1:14" x14ac:dyDescent="0.35">
      <c r="A6">
        <v>656</v>
      </c>
      <c r="B6" t="s">
        <v>110</v>
      </c>
      <c r="C6" s="63">
        <v>21794100</v>
      </c>
    </row>
    <row r="7" spans="1:14" x14ac:dyDescent="0.35">
      <c r="H7">
        <f>H5/H3</f>
        <v>3.8085074084025422E-2</v>
      </c>
    </row>
    <row r="8" spans="1:14" x14ac:dyDescent="0.35">
      <c r="H8" s="2">
        <f>H7*$C$19</f>
        <v>6.8933984092086018E-5</v>
      </c>
    </row>
    <row r="9" spans="1:14" s="3" customFormat="1" x14ac:dyDescent="0.35">
      <c r="A9" s="3" t="s">
        <v>111</v>
      </c>
    </row>
    <row r="10" spans="1:14" x14ac:dyDescent="0.35">
      <c r="A10">
        <v>620</v>
      </c>
      <c r="C10" s="61">
        <v>5.8965309542336397E-4</v>
      </c>
      <c r="E10" s="2">
        <f>(A10-A11)*D11+C11</f>
        <v>6.8678230896612551E-4</v>
      </c>
      <c r="F10" s="1">
        <f>C10/E10</f>
        <v>0.85857350680890598</v>
      </c>
      <c r="G10" s="1">
        <f>-LN(F10)</f>
        <v>0.15248297993502985</v>
      </c>
      <c r="H10">
        <f>1000*G10/filtereffectivedataWV1!$E$2</f>
        <v>335.72047311053353</v>
      </c>
      <c r="I10" s="2">
        <f>H10/$C$19</f>
        <v>185480.9243704605</v>
      </c>
      <c r="J10" s="2">
        <f>G10*2.2*$C$21/(224*$C$19*$C$18)/4</f>
        <v>1076.7847208593132</v>
      </c>
      <c r="K10" s="62">
        <f>(H10)*$C$24/4</f>
        <v>1059.3661273625441</v>
      </c>
    </row>
    <row r="11" spans="1:14" x14ac:dyDescent="0.35">
      <c r="A11">
        <v>632</v>
      </c>
      <c r="C11" s="61">
        <v>6.7414361848031502E-4</v>
      </c>
      <c r="D11" s="2">
        <f>(C13-C11)/(A13-A11)</f>
        <v>-1.0532242071508743E-6</v>
      </c>
      <c r="F11" s="4">
        <f>C10/C11</f>
        <v>0.87466984669021508</v>
      </c>
      <c r="G11" s="4">
        <f>-LN(F11)</f>
        <v>0.13390878189522179</v>
      </c>
      <c r="H11" s="3">
        <f>1000*G11/filtereffectivedataWV1!$E$2</f>
        <v>294.82582010578483</v>
      </c>
      <c r="K11" s="62">
        <f>(H11)*$C$24/4</f>
        <v>930.32302855453042</v>
      </c>
    </row>
    <row r="12" spans="1:14" x14ac:dyDescent="0.35">
      <c r="A12">
        <v>647</v>
      </c>
      <c r="C12" s="61">
        <v>6.3455199560558595E-4</v>
      </c>
      <c r="E12" s="2">
        <f>(A12-A11)*D11+C11</f>
        <v>6.5834525537305187E-4</v>
      </c>
      <c r="F12" s="1">
        <f>C12/E12</f>
        <v>0.9638589940866461</v>
      </c>
      <c r="G12" s="1">
        <f>-LN(F12)</f>
        <v>3.6810266764689535E-2</v>
      </c>
      <c r="H12">
        <f>1000*G12/filtereffectivedataWV1!$C$4</f>
        <v>11.763678821391318</v>
      </c>
      <c r="I12" s="2">
        <f>H12/H15</f>
        <v>185480.92437046053</v>
      </c>
    </row>
    <row r="13" spans="1:14" x14ac:dyDescent="0.35">
      <c r="A13">
        <v>656</v>
      </c>
      <c r="C13" s="61">
        <v>6.4886623750869403E-4</v>
      </c>
      <c r="M13" t="s">
        <v>95</v>
      </c>
      <c r="N13" t="s">
        <v>119</v>
      </c>
    </row>
    <row r="14" spans="1:14" x14ac:dyDescent="0.35">
      <c r="F14" s="1"/>
      <c r="H14" s="75">
        <f>H12/H10</f>
        <v>3.5040099617392746E-2</v>
      </c>
      <c r="M14">
        <v>0.95799999999999996</v>
      </c>
      <c r="N14">
        <v>0.96399999999999997</v>
      </c>
    </row>
    <row r="15" spans="1:14" x14ac:dyDescent="0.35">
      <c r="H15" s="2">
        <f>H14*$C$19</f>
        <v>6.3422580307480865E-5</v>
      </c>
      <c r="M15">
        <v>0.86299999999999999</v>
      </c>
      <c r="N15">
        <v>0.85899999999999999</v>
      </c>
    </row>
    <row r="16" spans="1:14" x14ac:dyDescent="0.35">
      <c r="H16" s="75">
        <f>H12/H11</f>
        <v>3.9900436186933889E-2</v>
      </c>
    </row>
    <row r="17" spans="1:15" ht="16.5" x14ac:dyDescent="0.35">
      <c r="A17" t="s">
        <v>5</v>
      </c>
      <c r="C17">
        <v>2.964</v>
      </c>
      <c r="D17" t="s">
        <v>6</v>
      </c>
      <c r="H17" s="24">
        <f>H16*$C$19</f>
        <v>7.2219789498350343E-5</v>
      </c>
      <c r="M17">
        <f>1-M14</f>
        <v>4.2000000000000037E-2</v>
      </c>
      <c r="N17">
        <f>1-N14</f>
        <v>3.6000000000000032E-2</v>
      </c>
      <c r="O17">
        <f>N17/M17</f>
        <v>0.8571428571428571</v>
      </c>
    </row>
    <row r="18" spans="1:15" ht="16.5" x14ac:dyDescent="0.35">
      <c r="A18" t="s">
        <v>4</v>
      </c>
      <c r="C18">
        <v>0.42799999999999999</v>
      </c>
      <c r="D18" t="s">
        <v>6</v>
      </c>
      <c r="H18">
        <f>H5/H4</f>
        <v>5.0086230216273654E-2</v>
      </c>
      <c r="M18">
        <f>1-M15</f>
        <v>0.13700000000000001</v>
      </c>
      <c r="N18">
        <f>1-N15</f>
        <v>0.14100000000000001</v>
      </c>
      <c r="O18">
        <f>N18/M18</f>
        <v>1.0291970802919708</v>
      </c>
    </row>
    <row r="19" spans="1:15" x14ac:dyDescent="0.35">
      <c r="A19" t="s">
        <v>3</v>
      </c>
      <c r="C19" s="2">
        <v>1.81E-3</v>
      </c>
      <c r="H19" s="24">
        <f>H18*$C$19</f>
        <v>9.0656076691455318E-5</v>
      </c>
    </row>
    <row r="20" spans="1:15" x14ac:dyDescent="0.35">
      <c r="A20" t="s">
        <v>7</v>
      </c>
      <c r="C20" s="2">
        <v>2.6899999999999998E+24</v>
      </c>
      <c r="D20" t="s">
        <v>8</v>
      </c>
    </row>
    <row r="21" spans="1:15" x14ac:dyDescent="0.35">
      <c r="A21" t="s">
        <v>9</v>
      </c>
      <c r="C21">
        <v>2228</v>
      </c>
      <c r="D21" t="s">
        <v>10</v>
      </c>
    </row>
    <row r="22" spans="1:15" x14ac:dyDescent="0.35">
      <c r="A22" t="s">
        <v>11</v>
      </c>
      <c r="C22" s="2">
        <v>3.8499999999999998E-24</v>
      </c>
      <c r="D22" s="2"/>
    </row>
    <row r="23" spans="1:15" x14ac:dyDescent="0.35">
      <c r="A23" t="s">
        <v>12</v>
      </c>
      <c r="C23" s="2">
        <v>1010000</v>
      </c>
      <c r="D23" t="s">
        <v>13</v>
      </c>
    </row>
    <row r="24" spans="1:15" x14ac:dyDescent="0.35">
      <c r="A24" t="s">
        <v>15</v>
      </c>
      <c r="C24" s="2">
        <f>C20*C21*C22/(C19*C23)</f>
        <v>12.622002078660904</v>
      </c>
      <c r="D24" t="s">
        <v>14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7CE1-5556-4BF5-B0E4-471B800382FE}">
  <dimension ref="A1:T29"/>
  <sheetViews>
    <sheetView topLeftCell="A2" workbookViewId="0">
      <selection activeCell="I8" sqref="I8"/>
    </sheetView>
  </sheetViews>
  <sheetFormatPr defaultRowHeight="14.5" x14ac:dyDescent="0.35"/>
  <cols>
    <col min="8" max="10" width="8.7265625" customWidth="1"/>
    <col min="11" max="12" width="11" customWidth="1"/>
    <col min="16" max="19" width="11" customWidth="1"/>
    <col min="20" max="20" width="9.26953125" customWidth="1"/>
  </cols>
  <sheetData>
    <row r="1" spans="1:20" x14ac:dyDescent="0.35">
      <c r="I1" s="97" t="s">
        <v>99</v>
      </c>
      <c r="J1" s="97"/>
      <c r="K1" s="97"/>
      <c r="L1" s="97"/>
      <c r="M1" s="97"/>
      <c r="N1" s="97"/>
    </row>
    <row r="2" spans="1:20" ht="58" x14ac:dyDescent="0.3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s="25" t="s">
        <v>35</v>
      </c>
      <c r="L2" t="s">
        <v>36</v>
      </c>
      <c r="M2" s="27" t="s">
        <v>54</v>
      </c>
      <c r="N2" s="27" t="s">
        <v>55</v>
      </c>
      <c r="P2" t="s">
        <v>37</v>
      </c>
      <c r="Q2" s="11" t="s">
        <v>38</v>
      </c>
      <c r="R2" s="11" t="s">
        <v>39</v>
      </c>
      <c r="S2" t="s">
        <v>40</v>
      </c>
      <c r="T2" t="s">
        <v>41</v>
      </c>
    </row>
    <row r="3" spans="1:20" x14ac:dyDescent="0.35">
      <c r="A3">
        <v>620</v>
      </c>
      <c r="B3" t="s">
        <v>26</v>
      </c>
      <c r="C3" s="1">
        <v>3.4742909999999898E-2</v>
      </c>
      <c r="D3">
        <v>619.75</v>
      </c>
      <c r="E3" s="1">
        <v>0.45419624999999902</v>
      </c>
      <c r="F3">
        <v>619.75</v>
      </c>
      <c r="G3" s="1">
        <v>0.87063612496085896</v>
      </c>
      <c r="H3" s="1">
        <v>0.13853115639806601</v>
      </c>
      <c r="I3">
        <v>3987.3216261408702</v>
      </c>
      <c r="J3">
        <v>305.00286252488002</v>
      </c>
      <c r="K3" s="19"/>
      <c r="L3" s="59">
        <f>J3/P$16</f>
        <v>168509.86879827626</v>
      </c>
      <c r="M3" s="2">
        <f>I3*2.2*$B$26/(224*$B$24*$B$23)/4</f>
        <v>28157155.677373134</v>
      </c>
      <c r="N3" s="76">
        <f>(J3)*$B$29/4</f>
        <v>962.43669119664037</v>
      </c>
      <c r="P3" s="59">
        <f>I3/(P$15*C3+P$16*E3)*1000</f>
        <v>4837600694.4419889</v>
      </c>
      <c r="Q3" s="13"/>
      <c r="R3" s="13">
        <f>P3*P$16</f>
        <v>8756057.2569399998</v>
      </c>
      <c r="S3" s="4"/>
      <c r="T3" s="4">
        <f>P3*E3*P16/1000</f>
        <v>3976.9683708874259</v>
      </c>
    </row>
    <row r="4" spans="1:20" x14ac:dyDescent="0.35">
      <c r="A4">
        <v>647</v>
      </c>
      <c r="B4" t="s">
        <v>28</v>
      </c>
      <c r="C4">
        <v>3.12914585</v>
      </c>
      <c r="D4">
        <v>646.75</v>
      </c>
      <c r="E4">
        <v>2.8161249999999999E-2</v>
      </c>
      <c r="F4">
        <v>646.75</v>
      </c>
      <c r="G4">
        <v>0.95273936474507703</v>
      </c>
      <c r="H4" s="1">
        <v>4.8413901982595701E-2</v>
      </c>
      <c r="I4">
        <v>15.471922468105999</v>
      </c>
      <c r="J4">
        <v>1719.1673658873699</v>
      </c>
      <c r="K4" s="58">
        <f>I4/J16</f>
        <v>168509.86879827626</v>
      </c>
      <c r="L4" s="14"/>
      <c r="P4" s="59">
        <f>I4/(P$15*C4+P$16*E4)*1000</f>
        <v>63480479.377807379</v>
      </c>
      <c r="Q4" s="13">
        <f>P4*P$15</f>
        <v>3910.397529672935</v>
      </c>
      <c r="R4" s="13"/>
      <c r="S4" s="4"/>
      <c r="T4" s="1"/>
    </row>
    <row r="5" spans="1:20" x14ac:dyDescent="0.35">
      <c r="K5" s="20"/>
      <c r="L5" s="14"/>
      <c r="P5" s="12"/>
      <c r="Q5" s="13"/>
      <c r="R5" s="13"/>
      <c r="S5" s="4">
        <f>P5*C5*P15/1000</f>
        <v>0</v>
      </c>
      <c r="T5" s="1"/>
    </row>
    <row r="6" spans="1:20" x14ac:dyDescent="0.35">
      <c r="K6" s="19"/>
      <c r="L6" s="14"/>
      <c r="P6" s="14"/>
      <c r="Q6" s="15"/>
      <c r="R6" s="15"/>
      <c r="S6" s="4"/>
      <c r="T6" s="1"/>
    </row>
    <row r="7" spans="1:20" x14ac:dyDescent="0.35">
      <c r="G7" s="68" t="s">
        <v>120</v>
      </c>
      <c r="H7" s="30" t="s">
        <v>52</v>
      </c>
      <c r="I7" s="30" t="s">
        <v>117</v>
      </c>
      <c r="K7" s="19"/>
      <c r="L7" s="14"/>
      <c r="P7" s="14"/>
      <c r="Q7" s="14"/>
      <c r="R7" s="12"/>
      <c r="S7" s="4"/>
      <c r="T7" s="1"/>
    </row>
    <row r="8" spans="1:20" x14ac:dyDescent="0.35">
      <c r="G8" s="17"/>
      <c r="I8" s="72"/>
      <c r="K8" s="19"/>
      <c r="L8" s="14"/>
      <c r="P8" s="14"/>
      <c r="Q8" s="14"/>
      <c r="R8" s="12"/>
      <c r="S8" s="4"/>
      <c r="T8" s="1"/>
    </row>
    <row r="9" spans="1:20" x14ac:dyDescent="0.35">
      <c r="G9" s="17"/>
      <c r="H9">
        <f>H3/0.454</f>
        <v>0.30513470572261236</v>
      </c>
      <c r="I9" s="72"/>
      <c r="K9" s="19"/>
      <c r="L9" s="12"/>
      <c r="P9" s="14"/>
      <c r="Q9" s="15"/>
      <c r="R9" s="15"/>
      <c r="S9" s="4"/>
      <c r="T9" s="4"/>
    </row>
    <row r="10" spans="1:20" x14ac:dyDescent="0.35">
      <c r="G10" s="17"/>
      <c r="H10" s="9">
        <f>H4/3.129</f>
        <v>1.5472643650557911E-2</v>
      </c>
      <c r="I10">
        <f>H10/H9*0.00181</f>
        <v>9.1780726617734059E-5</v>
      </c>
      <c r="K10" s="19"/>
      <c r="L10" s="14"/>
      <c r="P10" s="14"/>
      <c r="Q10" s="14"/>
      <c r="R10" s="14"/>
      <c r="S10" s="4"/>
      <c r="T10" s="1"/>
    </row>
    <row r="11" spans="1:20" x14ac:dyDescent="0.35">
      <c r="G11" s="17"/>
      <c r="H11" s="1"/>
      <c r="I11" s="72"/>
      <c r="K11" s="19"/>
      <c r="L11" s="14"/>
      <c r="N11" s="2"/>
      <c r="P11" s="14"/>
      <c r="Q11" s="14"/>
      <c r="R11" s="14"/>
      <c r="S11" s="4"/>
      <c r="T11" s="4"/>
    </row>
    <row r="12" spans="1:20" x14ac:dyDescent="0.35">
      <c r="G12" s="69" t="s">
        <v>116</v>
      </c>
      <c r="H12" s="70">
        <v>0.86299999999999999</v>
      </c>
      <c r="I12" s="71">
        <f>-LN(H12)</f>
        <v>0.14734058789870913</v>
      </c>
      <c r="K12" s="16"/>
      <c r="L12" s="16" t="s">
        <v>1</v>
      </c>
      <c r="P12" s="16"/>
      <c r="Q12" s="16"/>
      <c r="R12" s="16"/>
    </row>
    <row r="13" spans="1:20" x14ac:dyDescent="0.35">
      <c r="G13" s="69" t="s">
        <v>116</v>
      </c>
      <c r="H13" s="70">
        <v>0.95799999999999996</v>
      </c>
      <c r="I13" s="71">
        <f>-LN(H13)</f>
        <v>4.290750101127655E-2</v>
      </c>
      <c r="K13" s="16"/>
      <c r="L13" s="16" t="s">
        <v>0</v>
      </c>
      <c r="P13" s="16"/>
      <c r="Q13" s="16"/>
      <c r="R13" s="16"/>
    </row>
    <row r="14" spans="1:20" x14ac:dyDescent="0.35">
      <c r="P14" s="16"/>
      <c r="Q14" s="16"/>
      <c r="R14" s="16"/>
    </row>
    <row r="15" spans="1:20" x14ac:dyDescent="0.35">
      <c r="I15" s="17" t="s">
        <v>97</v>
      </c>
      <c r="J15">
        <f>I4/J3</f>
        <v>5.0727138558720603E-2</v>
      </c>
      <c r="P15" s="12">
        <v>6.1600000000000007E-5</v>
      </c>
      <c r="Q15" s="12"/>
      <c r="R15" s="12"/>
      <c r="S15" s="3"/>
    </row>
    <row r="16" spans="1:20" x14ac:dyDescent="0.35">
      <c r="I16" s="17" t="s">
        <v>100</v>
      </c>
      <c r="J16" s="2">
        <f>J15*P16</f>
        <v>9.1816120791284286E-5</v>
      </c>
      <c r="P16" s="12">
        <v>1.81E-3</v>
      </c>
      <c r="Q16" s="12"/>
      <c r="R16" s="12"/>
      <c r="S16" s="2"/>
      <c r="T16" s="2"/>
    </row>
    <row r="18" spans="1:18" x14ac:dyDescent="0.35">
      <c r="Q18" s="17" t="s">
        <v>42</v>
      </c>
      <c r="R18" s="1">
        <f>Q4/R3</f>
        <v>4.4659341698269236E-4</v>
      </c>
    </row>
    <row r="19" spans="1:18" x14ac:dyDescent="0.35">
      <c r="Q19" s="17" t="s">
        <v>43</v>
      </c>
      <c r="R19" s="2">
        <f>$P$16*R18</f>
        <v>8.0833408473867322E-7</v>
      </c>
    </row>
    <row r="22" spans="1:18" ht="16.5" x14ac:dyDescent="0.35">
      <c r="A22" t="s">
        <v>5</v>
      </c>
      <c r="B22">
        <v>2.964</v>
      </c>
      <c r="C22" t="s">
        <v>6</v>
      </c>
    </row>
    <row r="23" spans="1:18" ht="16.5" x14ac:dyDescent="0.35">
      <c r="A23" t="s">
        <v>4</v>
      </c>
      <c r="B23">
        <v>0.42799999999999999</v>
      </c>
      <c r="C23" t="s">
        <v>6</v>
      </c>
    </row>
    <row r="24" spans="1:18" x14ac:dyDescent="0.35">
      <c r="A24" t="s">
        <v>3</v>
      </c>
      <c r="B24" s="18">
        <v>1.81E-3</v>
      </c>
    </row>
    <row r="25" spans="1:18" x14ac:dyDescent="0.35">
      <c r="A25" t="s">
        <v>7</v>
      </c>
      <c r="B25" s="2">
        <v>2.6899999999999998E+24</v>
      </c>
      <c r="C25" t="s">
        <v>8</v>
      </c>
    </row>
    <row r="26" spans="1:18" x14ac:dyDescent="0.35">
      <c r="A26" t="s">
        <v>9</v>
      </c>
      <c r="B26">
        <v>2228</v>
      </c>
      <c r="C26" t="s">
        <v>10</v>
      </c>
    </row>
    <row r="27" spans="1:18" x14ac:dyDescent="0.35">
      <c r="A27" t="s">
        <v>11</v>
      </c>
      <c r="B27" s="2">
        <v>3.8499999999999998E-24</v>
      </c>
      <c r="C27" s="2"/>
    </row>
    <row r="28" spans="1:18" x14ac:dyDescent="0.35">
      <c r="A28" t="s">
        <v>12</v>
      </c>
      <c r="B28" s="2">
        <v>1010000</v>
      </c>
      <c r="C28" t="s">
        <v>13</v>
      </c>
    </row>
    <row r="29" spans="1:18" x14ac:dyDescent="0.35">
      <c r="A29" t="s">
        <v>15</v>
      </c>
      <c r="B29" s="2">
        <f>B25*B26*B27/(B24*B28)</f>
        <v>12.622002078660904</v>
      </c>
      <c r="C29" t="s">
        <v>14</v>
      </c>
    </row>
  </sheetData>
  <mergeCells count="1">
    <mergeCell ref="I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 Analysis 2024</vt:lpstr>
      <vt:lpstr>Summary</vt:lpstr>
      <vt:lpstr>filtereffectivedataWV1</vt:lpstr>
      <vt:lpstr>filtereffectivedataWV2</vt:lpstr>
      <vt:lpstr>Modeled (Moons)</vt:lpstr>
      <vt:lpstr>Observed (Moons)</vt:lpstr>
      <vt:lpstr>Observed VLT-MUSE MaximDL</vt:lpstr>
      <vt:lpstr>Modeled VLT-MUSE Karkoschka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2022-12-01T00:14:20Z</dcterms:created>
  <dcterms:modified xsi:type="dcterms:W3CDTF">2024-07-13T01:42:00Z</dcterms:modified>
</cp:coreProperties>
</file>