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Astronomy\Projects\GeneralDocumentation\ObservingReports\"/>
    </mc:Choice>
  </mc:AlternateContent>
  <bookViews>
    <workbookView xWindow="920" yWindow="-10" windowWidth="5760" windowHeight="6530" firstSheet="1" activeTab="1"/>
  </bookViews>
  <sheets>
    <sheet name="Module1" sheetId="1" state="veryHidden" r:id=""/>
    <sheet name="Main" sheetId="2" r:id="rId1"/>
    <sheet name="FOVs" sheetId="5" r:id="rId2"/>
    <sheet name="C60" sheetId="4" r:id="rId3"/>
  </sheets>
  <definedNames>
    <definedName name="alt">Main!$B$11</definedName>
    <definedName name="CCD_exp">Main!$B$59</definedName>
    <definedName name="CCD_ISO">Main!$B$60</definedName>
    <definedName name="CCD_LENS_AP">Main!$B$52</definedName>
    <definedName name="CCD_LENS_EFL">Main!$E$52</definedName>
    <definedName name="CCD_LENS_EFR">Main!$E$53</definedName>
    <definedName name="CCD_lens_FL">Main!$B$57</definedName>
    <definedName name="CCD_lens_FR">Main!$B$58</definedName>
    <definedName name="CCD_LENS_TEL">Main!$B$56</definedName>
    <definedName name="celest_fx">Main!$K$30</definedName>
    <definedName name="celest_mag">Main!$K$31</definedName>
    <definedName name="Celst_EFL">Main!$K$22</definedName>
    <definedName name="Celst_FOV">Main!$K$17</definedName>
    <definedName name="Celst_frh">Main!$K$27</definedName>
    <definedName name="Celst_frw">Main!$K$28</definedName>
    <definedName name="celst_magnif">Main!$K$15</definedName>
    <definedName name="Celst_obj">Main!$K$5</definedName>
    <definedName name="Celst_oc">Main!$K$11</definedName>
    <definedName name="Celst_proj">Main!$K$8</definedName>
    <definedName name="Celst_red">Main!$K$12</definedName>
    <definedName name="Celst_res">Main!$K$6</definedName>
    <definedName name="duration">Main!$B$41</definedName>
    <definedName name="eff_ISO">Main!$B$31</definedName>
    <definedName name="ext">Main!$B$15</definedName>
    <definedName name="ext_fx">Main!$B$17</definedName>
    <definedName name="ext_mag">Main!$B$16</definedName>
    <definedName name="ISO">Main!$B$42</definedName>
    <definedName name="JCI_bar">Main!$H$12</definedName>
    <definedName name="JCI_EFL">Main!$H$22</definedName>
    <definedName name="JCI_fov">Main!$H$17</definedName>
    <definedName name="JCI_frh">Main!$H$27</definedName>
    <definedName name="JCI_frw">Main!$H$28</definedName>
    <definedName name="jci_fx">Main!$H$30</definedName>
    <definedName name="jci_mag">Main!$H$31</definedName>
    <definedName name="jci_magnif">Main!$H$15</definedName>
    <definedName name="JCI_obj">Main!$H$5</definedName>
    <definedName name="JCI_oc">Main!$H$11</definedName>
    <definedName name="JCI_Prime">Main!$H$21</definedName>
    <definedName name="JCI_proj">Main!$H$8</definedName>
    <definedName name="JCI_res">Main!$H$6</definedName>
    <definedName name="k">Main!$B$14</definedName>
    <definedName name="OL_Ap">Main!$B$35</definedName>
    <definedName name="OL_EFL">Main!$E$39</definedName>
    <definedName name="OL_EFR">Main!$E$40</definedName>
    <definedName name="OL_FL">Main!$B$39</definedName>
    <definedName name="OL_FR">Main!$B$40</definedName>
    <definedName name="ol_fx">Main!$E$47</definedName>
    <definedName name="ol_mag">Main!$E$48</definedName>
    <definedName name="OLC_EFL">Main!$K$39</definedName>
    <definedName name="OLC_EFR">Main!$K$40</definedName>
    <definedName name="OLJ_EFL">Main!$H$39</definedName>
    <definedName name="OLJ_EFR">Main!$H$40</definedName>
    <definedName name="Prime">Main!$K$21</definedName>
    <definedName name="_xlnm.Print_Area" localSheetId="1">Main!$A$1:$L$49</definedName>
    <definedName name="rcp_exponent">Main!$B$30</definedName>
    <definedName name="rcp_fx">Main!$B$33</definedName>
    <definedName name="rcp_mag">Main!$B$32</definedName>
    <definedName name="Ric_ap">Main!$B$21</definedName>
    <definedName name="Ric_EFL">Main!$E$22</definedName>
    <definedName name="Ric_EFR">Main!$E$23</definedName>
    <definedName name="Ric_exp">Main!$B$28</definedName>
    <definedName name="Ric_FL">Main!$B$26</definedName>
    <definedName name="Ric_fr">Main!$B$27</definedName>
    <definedName name="Ric_frh">Main!$E$27</definedName>
    <definedName name="Ric_frw">Main!$E$28</definedName>
    <definedName name="ric_fx">Main!$E$30</definedName>
    <definedName name="Ric_ISO">Main!$B$29</definedName>
    <definedName name="ric_mag">Main!$E$31</definedName>
    <definedName name="Ric_tel">Main!$B$25</definedName>
    <definedName name="secz">Main!$B$12</definedName>
    <definedName name="size_deg">Main!$B$5</definedName>
    <definedName name="size_min">Main!$B$6</definedName>
    <definedName name="size_rad">Main!$E$2</definedName>
    <definedName name="size_sec">Main!$B$7</definedName>
    <definedName name="txmsn">Main!$E$7</definedName>
    <definedName name="X">Main!$B$13</definedName>
  </definedNames>
  <calcPr calcId="171027"/>
</workbook>
</file>

<file path=xl/calcChain.xml><?xml version="1.0" encoding="utf-8"?>
<calcChain xmlns="http://schemas.openxmlformats.org/spreadsheetml/2006/main">
  <c r="N80" i="2" l="1"/>
  <c r="K87" i="2"/>
  <c r="H87" i="2"/>
  <c r="E79" i="2"/>
  <c r="B78" i="2"/>
  <c r="H13" i="2"/>
  <c r="H23" i="2" s="1"/>
  <c r="H22" i="2" s="1"/>
  <c r="B23" i="4"/>
  <c r="B21" i="4"/>
  <c r="B20" i="4"/>
  <c r="B16" i="4"/>
  <c r="B11" i="4"/>
  <c r="B9" i="4"/>
  <c r="B8" i="4"/>
  <c r="B4" i="4"/>
  <c r="G2" i="5"/>
  <c r="G12" i="5" s="1"/>
  <c r="G20" i="5"/>
  <c r="F2" i="5"/>
  <c r="F20" i="5"/>
  <c r="E20" i="5"/>
  <c r="D20" i="5"/>
  <c r="C20" i="5"/>
  <c r="B20" i="5"/>
  <c r="G7" i="5"/>
  <c r="E7" i="5"/>
  <c r="D7" i="5"/>
  <c r="C7" i="5"/>
  <c r="B7" i="5"/>
  <c r="B24" i="5"/>
  <c r="C24" i="5"/>
  <c r="D24" i="5"/>
  <c r="E24" i="5"/>
  <c r="F24" i="5"/>
  <c r="B11" i="5"/>
  <c r="C11" i="5"/>
  <c r="D11" i="5"/>
  <c r="E11" i="5"/>
  <c r="F11" i="5"/>
  <c r="C17" i="5"/>
  <c r="D17" i="5"/>
  <c r="E17" i="5"/>
  <c r="G17" i="5"/>
  <c r="C18" i="5"/>
  <c r="D18" i="5"/>
  <c r="E18" i="5"/>
  <c r="F18" i="5"/>
  <c r="C19" i="5"/>
  <c r="D19" i="5"/>
  <c r="E19" i="5"/>
  <c r="G19" i="5"/>
  <c r="C21" i="5"/>
  <c r="D21" i="5"/>
  <c r="E21" i="5"/>
  <c r="F21" i="5"/>
  <c r="C22" i="5"/>
  <c r="D22" i="5"/>
  <c r="E22" i="5"/>
  <c r="G22" i="5"/>
  <c r="C23" i="5"/>
  <c r="D23" i="5"/>
  <c r="E23" i="5"/>
  <c r="F23" i="5"/>
  <c r="C25" i="5"/>
  <c r="D25" i="5"/>
  <c r="E25" i="5"/>
  <c r="G25" i="5"/>
  <c r="C26" i="5"/>
  <c r="D26" i="5"/>
  <c r="E26" i="5"/>
  <c r="F26" i="5"/>
  <c r="C27" i="5"/>
  <c r="D27" i="5"/>
  <c r="E27" i="5"/>
  <c r="G27" i="5"/>
  <c r="B18" i="5"/>
  <c r="B19" i="5"/>
  <c r="B21" i="5"/>
  <c r="B22" i="5"/>
  <c r="B23" i="5"/>
  <c r="B25" i="5"/>
  <c r="B26" i="5"/>
  <c r="B27" i="5"/>
  <c r="B17" i="5"/>
  <c r="G4" i="5"/>
  <c r="G6" i="5"/>
  <c r="G9" i="5"/>
  <c r="G14" i="5"/>
  <c r="B5" i="5"/>
  <c r="C5" i="5"/>
  <c r="D5" i="5"/>
  <c r="E5" i="5"/>
  <c r="B6" i="5"/>
  <c r="C6" i="5"/>
  <c r="D6" i="5"/>
  <c r="E6" i="5"/>
  <c r="F6" i="5"/>
  <c r="B8" i="5"/>
  <c r="C8" i="5"/>
  <c r="D8" i="5"/>
  <c r="E8" i="5"/>
  <c r="B9" i="5"/>
  <c r="C9" i="5"/>
  <c r="D9" i="5"/>
  <c r="E9" i="5"/>
  <c r="F9" i="5"/>
  <c r="B10" i="5"/>
  <c r="C10" i="5"/>
  <c r="D10" i="5"/>
  <c r="E10" i="5"/>
  <c r="B12" i="5"/>
  <c r="C12" i="5"/>
  <c r="D12" i="5"/>
  <c r="E12" i="5"/>
  <c r="F12" i="5"/>
  <c r="B13" i="5"/>
  <c r="C13" i="5"/>
  <c r="D13" i="5"/>
  <c r="E13" i="5"/>
  <c r="B14" i="5"/>
  <c r="C14" i="5"/>
  <c r="D14" i="5"/>
  <c r="E14" i="5"/>
  <c r="F14" i="5"/>
  <c r="C4" i="5"/>
  <c r="D4" i="5"/>
  <c r="E4" i="5"/>
  <c r="F4" i="5"/>
  <c r="B4" i="5"/>
  <c r="K13" i="2"/>
  <c r="K66" i="2" s="1"/>
  <c r="K65" i="2" s="1"/>
  <c r="B52" i="2"/>
  <c r="B79" i="2" s="1"/>
  <c r="E53" i="2"/>
  <c r="E52" i="2" s="1"/>
  <c r="K74" i="2"/>
  <c r="H74" i="2"/>
  <c r="B21" i="2"/>
  <c r="E87" i="2" s="1"/>
  <c r="E21" i="2"/>
  <c r="E29" i="2" s="1"/>
  <c r="E2" i="2"/>
  <c r="E66" i="2"/>
  <c r="B66" i="2"/>
  <c r="B65" i="2"/>
  <c r="H16" i="2"/>
  <c r="H17" i="2"/>
  <c r="K61" i="2"/>
  <c r="H61" i="2"/>
  <c r="E23" i="2"/>
  <c r="B31" i="2"/>
  <c r="B33" i="2" s="1"/>
  <c r="B32" i="2" s="1"/>
  <c r="B35" i="2"/>
  <c r="H37" i="2" s="1"/>
  <c r="H15" i="2"/>
  <c r="H36" i="2"/>
  <c r="K6" i="2"/>
  <c r="H6" i="2"/>
  <c r="K16" i="2"/>
  <c r="K17" i="2" s="1"/>
  <c r="E35" i="2"/>
  <c r="E40" i="2"/>
  <c r="H46" i="2"/>
  <c r="B12" i="2"/>
  <c r="B13" i="2" s="1"/>
  <c r="B15" i="2" s="1"/>
  <c r="B16" i="2" s="1"/>
  <c r="B17" i="2" s="1"/>
  <c r="K46" i="2"/>
  <c r="H14" i="2"/>
  <c r="F13" i="5"/>
  <c r="F10" i="5"/>
  <c r="F8" i="5"/>
  <c r="F5" i="5"/>
  <c r="G13" i="5"/>
  <c r="G10" i="5"/>
  <c r="G8" i="5"/>
  <c r="G5" i="5"/>
  <c r="F27" i="5"/>
  <c r="G26" i="5"/>
  <c r="F25" i="5"/>
  <c r="G23" i="5"/>
  <c r="F22" i="5"/>
  <c r="G21" i="5"/>
  <c r="F19" i="5"/>
  <c r="G18" i="5"/>
  <c r="F17" i="5"/>
  <c r="G11" i="5"/>
  <c r="G24" i="5"/>
  <c r="F7" i="5"/>
  <c r="H53" i="2"/>
  <c r="H52" i="2" s="1"/>
  <c r="H66" i="2"/>
  <c r="H65" i="2"/>
  <c r="K15" i="2"/>
  <c r="K35" i="2" s="1"/>
  <c r="H39" i="2"/>
  <c r="H44" i="2" s="1"/>
  <c r="E61" i="2"/>
  <c r="K53" i="2"/>
  <c r="B22" i="2"/>
  <c r="H35" i="2"/>
  <c r="H40" i="2" s="1"/>
  <c r="E22" i="2"/>
  <c r="E27" i="2" s="1"/>
  <c r="E74" i="2"/>
  <c r="H45" i="2"/>
  <c r="H41" i="2"/>
  <c r="H49" i="2"/>
  <c r="E28" i="2"/>
  <c r="K18" i="2"/>
  <c r="E55" i="2"/>
  <c r="E60" i="2"/>
  <c r="E31" i="2"/>
  <c r="E25" i="2"/>
  <c r="H55" i="2"/>
  <c r="E86" i="2"/>
  <c r="E81" i="2"/>
  <c r="E30" i="2"/>
  <c r="H68" i="2"/>
  <c r="H42" i="2"/>
  <c r="E42" i="2"/>
  <c r="E73" i="2"/>
  <c r="H59" i="2"/>
  <c r="E68" i="2"/>
  <c r="H81" i="2"/>
  <c r="E48" i="2"/>
  <c r="K72" i="2"/>
  <c r="H25" i="2"/>
  <c r="K31" i="2"/>
  <c r="K86" i="2" s="1"/>
  <c r="E47" i="2"/>
  <c r="E85" i="2"/>
  <c r="H72" i="2"/>
  <c r="E59" i="2"/>
  <c r="E72" i="2"/>
  <c r="H60" i="2"/>
  <c r="K60" i="2"/>
  <c r="K59" i="2"/>
  <c r="H31" i="2"/>
  <c r="H30" i="2"/>
  <c r="H86" i="2"/>
  <c r="K73" i="2"/>
  <c r="H48" i="2"/>
  <c r="H47" i="2"/>
  <c r="H18" i="2" l="1"/>
  <c r="H26" i="2"/>
  <c r="H79" i="2" s="1"/>
  <c r="H82" i="2"/>
  <c r="E69" i="2"/>
  <c r="E43" i="2"/>
  <c r="H43" i="2"/>
  <c r="H69" i="2"/>
  <c r="E82" i="2"/>
  <c r="H56" i="2"/>
  <c r="E26" i="2"/>
  <c r="E56" i="2"/>
  <c r="E83" i="2"/>
  <c r="E80" i="2"/>
  <c r="E88" i="2" s="1"/>
  <c r="E70" i="2"/>
  <c r="E57" i="2"/>
  <c r="E54" i="2"/>
  <c r="E62" i="2" s="1"/>
  <c r="E67" i="2"/>
  <c r="E75" i="2" s="1"/>
  <c r="E84" i="2"/>
  <c r="E71" i="2"/>
  <c r="E58" i="2"/>
  <c r="H83" i="2"/>
  <c r="H80" i="2"/>
  <c r="H88" i="2" s="1"/>
  <c r="H84" i="2"/>
  <c r="H71" i="2"/>
  <c r="H28" i="2"/>
  <c r="H24" i="2"/>
  <c r="H29" i="2"/>
  <c r="H57" i="2"/>
  <c r="H70" i="2"/>
  <c r="H67" i="2"/>
  <c r="H75" i="2" s="1"/>
  <c r="H27" i="2"/>
  <c r="H58" i="2"/>
  <c r="H54" i="2"/>
  <c r="H62" i="2" s="1"/>
  <c r="K40" i="2"/>
  <c r="H38" i="2"/>
  <c r="E24" i="2"/>
  <c r="K37" i="2"/>
  <c r="K39" i="2"/>
  <c r="K36" i="2"/>
  <c r="E65" i="2"/>
  <c r="K23" i="2"/>
  <c r="B36" i="2"/>
  <c r="E39" i="2"/>
  <c r="E46" i="2" s="1"/>
  <c r="B53" i="2"/>
  <c r="K14" i="2"/>
  <c r="E78" i="2"/>
  <c r="K30" i="2"/>
  <c r="K42" i="2"/>
  <c r="H85" i="2"/>
  <c r="H73" i="2"/>
  <c r="K48" i="2"/>
  <c r="K43" i="2" l="1"/>
  <c r="H78" i="2"/>
  <c r="E44" i="2"/>
  <c r="E45" i="2"/>
  <c r="E41" i="2"/>
  <c r="E49" i="2" s="1"/>
  <c r="K52" i="2"/>
  <c r="K22" i="2"/>
  <c r="K38" i="2"/>
  <c r="M40" i="2"/>
  <c r="K41" i="2"/>
  <c r="K49" i="2" s="1"/>
  <c r="K45" i="2"/>
  <c r="K44" i="2"/>
  <c r="K25" i="2"/>
  <c r="K68" i="2"/>
  <c r="K81" i="2"/>
  <c r="K55" i="2"/>
  <c r="K47" i="2"/>
  <c r="K56" i="2" l="1"/>
  <c r="K82" i="2"/>
  <c r="K69" i="2"/>
  <c r="K26" i="2"/>
  <c r="K79" i="2" s="1"/>
  <c r="K24" i="2"/>
  <c r="K28" i="2"/>
  <c r="K83" i="2"/>
  <c r="K84" i="2"/>
  <c r="K80" i="2"/>
  <c r="K88" i="2" s="1"/>
  <c r="K54" i="2"/>
  <c r="K62" i="2" s="1"/>
  <c r="K67" i="2"/>
  <c r="K75" i="2" s="1"/>
  <c r="K27" i="2"/>
  <c r="K58" i="2"/>
  <c r="K70" i="2"/>
  <c r="K57" i="2"/>
  <c r="K71" i="2"/>
  <c r="K29" i="2"/>
  <c r="K85" i="2"/>
  <c r="K78" i="2" l="1"/>
</calcChain>
</file>

<file path=xl/sharedStrings.xml><?xml version="1.0" encoding="utf-8"?>
<sst xmlns="http://schemas.openxmlformats.org/spreadsheetml/2006/main" count="510" uniqueCount="111">
  <si>
    <t>Film</t>
  </si>
  <si>
    <t>Filter</t>
  </si>
  <si>
    <t>Alt.</t>
  </si>
  <si>
    <t>Air Mass</t>
  </si>
  <si>
    <t>k</t>
  </si>
  <si>
    <t>Extinct.</t>
  </si>
  <si>
    <t>Zext.</t>
  </si>
  <si>
    <t>deg</t>
  </si>
  <si>
    <t>min</t>
  </si>
  <si>
    <t>sec</t>
  </si>
  <si>
    <t>ISO</t>
  </si>
  <si>
    <t>%</t>
  </si>
  <si>
    <t>mag</t>
  </si>
  <si>
    <t>fx</t>
  </si>
  <si>
    <t>CELESTRON 8</t>
  </si>
  <si>
    <t>FL</t>
  </si>
  <si>
    <t>mm</t>
  </si>
  <si>
    <t>Objective</t>
  </si>
  <si>
    <t>f/r</t>
  </si>
  <si>
    <t>Resolution</t>
  </si>
  <si>
    <t>asec</t>
  </si>
  <si>
    <t>Prime</t>
  </si>
  <si>
    <t>n</t>
  </si>
  <si>
    <t>Telecon</t>
  </si>
  <si>
    <t>x</t>
  </si>
  <si>
    <t>Mag. Limit</t>
  </si>
  <si>
    <t>EFL</t>
  </si>
  <si>
    <t>Aperature</t>
  </si>
  <si>
    <t>Proj. Dist.</t>
  </si>
  <si>
    <t>EFR</t>
  </si>
  <si>
    <t>Proj. Dist</t>
  </si>
  <si>
    <t>Scale</t>
  </si>
  <si>
    <t>asec/mm</t>
  </si>
  <si>
    <t>Visual Parameters</t>
  </si>
  <si>
    <t>Size</t>
  </si>
  <si>
    <t>min/mm</t>
  </si>
  <si>
    <t>Ocular</t>
  </si>
  <si>
    <t>Frame</t>
  </si>
  <si>
    <t>Dif. disk</t>
  </si>
  <si>
    <t>Magnif</t>
  </si>
  <si>
    <t>Mag</t>
  </si>
  <si>
    <t>App FOV</t>
  </si>
  <si>
    <t>True FOV</t>
  </si>
  <si>
    <t>App Size</t>
  </si>
  <si>
    <t>rad</t>
  </si>
  <si>
    <t>secz</t>
  </si>
  <si>
    <t>npix1</t>
  </si>
  <si>
    <t>npix2</t>
  </si>
  <si>
    <t>dx</t>
  </si>
  <si>
    <t>dy</t>
  </si>
  <si>
    <t>sx</t>
  </si>
  <si>
    <t>sy</t>
  </si>
  <si>
    <t>fl</t>
  </si>
  <si>
    <t>xFOV</t>
  </si>
  <si>
    <t>ext_fx</t>
  </si>
  <si>
    <t>Object Parameters</t>
  </si>
  <si>
    <t>Atmospheric Parameters</t>
  </si>
  <si>
    <t>Detector Parameters</t>
  </si>
  <si>
    <t>Brightness</t>
  </si>
  <si>
    <t>rcp_exponent</t>
  </si>
  <si>
    <t>Eff. ISO</t>
  </si>
  <si>
    <t>rcp_mag</t>
  </si>
  <si>
    <t>rcp_fx</t>
  </si>
  <si>
    <t>N/A</t>
  </si>
  <si>
    <t>RICOH Camera</t>
  </si>
  <si>
    <t>RICOH Camera Performance</t>
  </si>
  <si>
    <t>Olympus C60 Camera</t>
  </si>
  <si>
    <t>Olympus C60 Camera Performance</t>
  </si>
  <si>
    <t>Exposure</t>
  </si>
  <si>
    <t>Size2</t>
  </si>
  <si>
    <t>/frame</t>
  </si>
  <si>
    <t>.65-.95</t>
  </si>
  <si>
    <t>pixel scale</t>
  </si>
  <si>
    <t>arcs/pix</t>
  </si>
  <si>
    <t>(1600x1200)</t>
  </si>
  <si>
    <t>Surf. Bright</t>
  </si>
  <si>
    <t>exit pupil</t>
  </si>
  <si>
    <t>adj. surf brt.</t>
  </si>
  <si>
    <t>exit pupil corr.</t>
  </si>
  <si>
    <t>Consistent with plate scale</t>
  </si>
  <si>
    <t>Reducer/Barlow/Diag</t>
  </si>
  <si>
    <t>r/b/db</t>
  </si>
  <si>
    <t>Adjust for exit pupil only</t>
  </si>
  <si>
    <t>7.8-23.4</t>
  </si>
  <si>
    <t>2.8-4.8</t>
  </si>
  <si>
    <t>Problematic to handle decoupling of point and extended sources</t>
  </si>
  <si>
    <t>CCD Camera</t>
  </si>
  <si>
    <t>CCD_ISO</t>
  </si>
  <si>
    <t>SBIG ST-2000 Camera Performance</t>
  </si>
  <si>
    <t>Surfbrightness</t>
  </si>
  <si>
    <t>1.15*</t>
  </si>
  <si>
    <t>Correction for plate scale</t>
  </si>
  <si>
    <t>Corrected based on Televue</t>
  </si>
  <si>
    <t>Website on 6/24/2005</t>
  </si>
  <si>
    <t>FL (mm)</t>
  </si>
  <si>
    <t>Main X</t>
  </si>
  <si>
    <t>Main Y</t>
  </si>
  <si>
    <t>Guide X</t>
  </si>
  <si>
    <t>Guide Y</t>
  </si>
  <si>
    <t>Guide Y min</t>
  </si>
  <si>
    <t>Guide Y max</t>
  </si>
  <si>
    <t>Det. Dims.</t>
  </si>
  <si>
    <t>DEGREES</t>
  </si>
  <si>
    <t>MINUTES</t>
  </si>
  <si>
    <t>R:G:B~0.1:0.2:0.4</t>
  </si>
  <si>
    <t>Phillips ToUcam 840</t>
  </si>
  <si>
    <t>WO ZenithStar 66</t>
  </si>
  <si>
    <t>Reducer</t>
  </si>
  <si>
    <t>ToUcam 840 Camera Performance</t>
  </si>
  <si>
    <t>y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</si>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</sst>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0"/>
    <numFmt numFmtId="166" formatCode="0.0000"/>
    <numFmt numFmtId="167" formatCode="0.0"/>
  </numFmts>
  <fonts count="10" x14ac:knownFonts="1">
    <font>
      <sz val="10"/>
      <name val="Helv"/>
    </font>
    <font>
      <b/>
      <sz val="10"/>
      <name val="Helv"/>
    </font>
    <font>
      <b/>
      <sz val="10"/>
      <color indexed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7"/>
      <name val="Calibri"/>
      <family val="2"/>
      <scheme val="minor"/>
    </font>
    <font>
      <sz val="8"/>
      <name val="Calibri"/>
      <family val="2"/>
      <scheme val="minor"/>
    </font>
    <font>
      <sz val="10"/>
      <color indexed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/>
    <xf numFmtId="165" fontId="0" fillId="0" borderId="0" xfId="0" applyNumberFormat="1"/>
    <xf numFmtId="167" fontId="0" fillId="0" borderId="0" xfId="0" applyNumberFormat="1"/>
    <xf numFmtId="167" fontId="0" fillId="2" borderId="0" xfId="0" applyNumberFormat="1" applyFill="1"/>
    <xf numFmtId="0" fontId="2" fillId="0" borderId="0" xfId="0" applyFont="1"/>
    <xf numFmtId="0" fontId="3" fillId="0" borderId="0" xfId="0" applyFont="1"/>
    <xf numFmtId="0" fontId="4" fillId="3" borderId="0" xfId="0" applyFont="1" applyFill="1" applyBorder="1" applyAlignment="1">
      <alignment horizontal="center"/>
    </xf>
    <xf numFmtId="1" fontId="3" fillId="0" borderId="0" xfId="0" applyNumberFormat="1" applyFont="1"/>
    <xf numFmtId="2" fontId="3" fillId="0" borderId="0" xfId="0" applyNumberFormat="1" applyFont="1"/>
    <xf numFmtId="0" fontId="3" fillId="0" borderId="0" xfId="0" applyNumberFormat="1" applyFont="1"/>
    <xf numFmtId="0" fontId="5" fillId="0" borderId="0" xfId="0" applyFont="1"/>
    <xf numFmtId="0" fontId="4" fillId="0" borderId="0" xfId="0" applyFont="1"/>
    <xf numFmtId="0" fontId="4" fillId="3" borderId="1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/>
    <xf numFmtId="1" fontId="3" fillId="0" borderId="5" xfId="0" applyNumberFormat="1" applyFont="1" applyFill="1" applyBorder="1"/>
    <xf numFmtId="1" fontId="3" fillId="0" borderId="0" xfId="0" applyNumberFormat="1" applyFont="1" applyFill="1" applyBorder="1"/>
    <xf numFmtId="2" fontId="3" fillId="0" borderId="6" xfId="0" applyNumberFormat="1" applyFont="1" applyFill="1" applyBorder="1"/>
    <xf numFmtId="164" fontId="3" fillId="0" borderId="0" xfId="0" applyNumberFormat="1" applyFont="1" applyFill="1" applyBorder="1"/>
    <xf numFmtId="167" fontId="7" fillId="0" borderId="0" xfId="0" applyNumberFormat="1" applyFont="1" applyBorder="1" applyAlignment="1">
      <alignment horizontal="center"/>
    </xf>
    <xf numFmtId="167" fontId="8" fillId="0" borderId="6" xfId="0" applyNumberFormat="1" applyFont="1" applyBorder="1" applyAlignment="1">
      <alignment horizontal="center"/>
    </xf>
    <xf numFmtId="167" fontId="3" fillId="0" borderId="0" xfId="0" applyNumberFormat="1" applyFont="1" applyBorder="1"/>
    <xf numFmtId="164" fontId="3" fillId="0" borderId="5" xfId="0" applyNumberFormat="1" applyFont="1" applyBorder="1"/>
    <xf numFmtId="0" fontId="3" fillId="0" borderId="6" xfId="0" applyFont="1" applyFill="1" applyBorder="1"/>
    <xf numFmtId="1" fontId="4" fillId="0" borderId="0" xfId="0" applyNumberFormat="1" applyFont="1" applyFill="1" applyBorder="1"/>
    <xf numFmtId="0" fontId="6" fillId="0" borderId="5" xfId="0" applyFont="1" applyBorder="1"/>
    <xf numFmtId="0" fontId="3" fillId="0" borderId="5" xfId="0" applyFont="1" applyFill="1" applyBorder="1"/>
    <xf numFmtId="0" fontId="7" fillId="0" borderId="0" xfId="0" applyFont="1" applyFill="1" applyBorder="1" applyAlignment="1">
      <alignment horizontal="right"/>
    </xf>
    <xf numFmtId="0" fontId="3" fillId="0" borderId="6" xfId="0" applyNumberFormat="1" applyFont="1" applyFill="1" applyBorder="1" applyAlignment="1">
      <alignment horizontal="left"/>
    </xf>
    <xf numFmtId="164" fontId="4" fillId="0" borderId="0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left"/>
    </xf>
    <xf numFmtId="164" fontId="3" fillId="4" borderId="0" xfId="0" applyNumberFormat="1" applyFont="1" applyFill="1" applyBorder="1" applyAlignment="1">
      <alignment horizontal="center"/>
    </xf>
    <xf numFmtId="2" fontId="3" fillId="0" borderId="5" xfId="0" applyNumberFormat="1" applyFont="1" applyFill="1" applyBorder="1"/>
    <xf numFmtId="2" fontId="3" fillId="0" borderId="6" xfId="0" applyNumberFormat="1" applyFont="1" applyFill="1" applyBorder="1" applyAlignment="1">
      <alignment horizontal="left"/>
    </xf>
    <xf numFmtId="0" fontId="9" fillId="2" borderId="0" xfId="0" applyNumberFormat="1" applyFont="1" applyFill="1"/>
    <xf numFmtId="167" fontId="3" fillId="0" borderId="0" xfId="0" applyNumberFormat="1" applyFont="1" applyFill="1" applyBorder="1"/>
    <xf numFmtId="0" fontId="3" fillId="0" borderId="0" xfId="0" applyFont="1" applyFill="1" applyBorder="1"/>
    <xf numFmtId="0" fontId="3" fillId="2" borderId="0" xfId="0" applyNumberFormat="1" applyFont="1" applyFill="1"/>
    <xf numFmtId="164" fontId="3" fillId="4" borderId="6" xfId="0" applyNumberFormat="1" applyFont="1" applyFill="1" applyBorder="1" applyAlignment="1">
      <alignment horizontal="center"/>
    </xf>
    <xf numFmtId="0" fontId="3" fillId="0" borderId="5" xfId="0" applyNumberFormat="1" applyFont="1" applyFill="1" applyBorder="1" applyAlignment="1">
      <alignment horizontal="left"/>
    </xf>
    <xf numFmtId="2" fontId="3" fillId="0" borderId="0" xfId="0" applyNumberFormat="1" applyFont="1" applyFill="1" applyBorder="1"/>
    <xf numFmtId="0" fontId="3" fillId="0" borderId="6" xfId="0" applyFont="1" applyFill="1" applyBorder="1" applyAlignment="1">
      <alignment horizontal="left"/>
    </xf>
    <xf numFmtId="164" fontId="3" fillId="0" borderId="0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8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4" fontId="3" fillId="0" borderId="7" xfId="0" applyNumberFormat="1" applyFont="1" applyFill="1" applyBorder="1"/>
    <xf numFmtId="2" fontId="3" fillId="0" borderId="8" xfId="0" applyNumberFormat="1" applyFont="1" applyFill="1" applyBorder="1" applyAlignment="1">
      <alignment horizontal="center"/>
    </xf>
    <xf numFmtId="2" fontId="3" fillId="0" borderId="9" xfId="0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Continuous"/>
    </xf>
    <xf numFmtId="0" fontId="3" fillId="0" borderId="0" xfId="0" applyNumberFormat="1" applyFont="1" applyAlignment="1">
      <alignment horizontal="center"/>
    </xf>
    <xf numFmtId="1" fontId="3" fillId="0" borderId="2" xfId="0" applyNumberFormat="1" applyFont="1" applyFill="1" applyBorder="1"/>
    <xf numFmtId="0" fontId="7" fillId="0" borderId="3" xfId="0" applyFont="1" applyFill="1" applyBorder="1" applyAlignment="1">
      <alignment horizontal="right"/>
    </xf>
    <xf numFmtId="0" fontId="3" fillId="0" borderId="4" xfId="0" applyFont="1" applyBorder="1"/>
    <xf numFmtId="0" fontId="5" fillId="3" borderId="0" xfId="0" applyNumberFormat="1" applyFont="1" applyFill="1" applyAlignment="1">
      <alignment horizontal="center"/>
    </xf>
    <xf numFmtId="0" fontId="5" fillId="3" borderId="0" xfId="0" applyFont="1" applyFill="1"/>
    <xf numFmtId="2" fontId="3" fillId="0" borderId="0" xfId="0" applyNumberFormat="1" applyFont="1" applyBorder="1"/>
    <xf numFmtId="2" fontId="5" fillId="3" borderId="0" xfId="0" applyNumberFormat="1" applyFont="1" applyFill="1"/>
    <xf numFmtId="2" fontId="3" fillId="0" borderId="5" xfId="0" applyNumberFormat="1" applyFont="1" applyBorder="1"/>
    <xf numFmtId="2" fontId="3" fillId="0" borderId="6" xfId="0" applyNumberFormat="1" applyFont="1" applyBorder="1"/>
    <xf numFmtId="2" fontId="3" fillId="0" borderId="0" xfId="0" applyNumberFormat="1" applyFont="1" applyFill="1" applyBorder="1" applyAlignment="1">
      <alignment horizontal="right"/>
    </xf>
    <xf numFmtId="164" fontId="3" fillId="0" borderId="6" xfId="0" applyNumberFormat="1" applyFont="1" applyFill="1" applyBorder="1" applyAlignment="1">
      <alignment horizontal="left"/>
    </xf>
    <xf numFmtId="164" fontId="3" fillId="2" borderId="0" xfId="0" applyNumberFormat="1" applyFont="1" applyFill="1"/>
    <xf numFmtId="164" fontId="5" fillId="3" borderId="0" xfId="0" applyNumberFormat="1" applyFont="1" applyFill="1"/>
    <xf numFmtId="2" fontId="5" fillId="3" borderId="0" xfId="0" applyNumberFormat="1" applyFont="1" applyFill="1" applyAlignment="1">
      <alignment horizontal="center"/>
    </xf>
    <xf numFmtId="164" fontId="3" fillId="0" borderId="0" xfId="0" applyNumberFormat="1" applyFont="1" applyFill="1" applyBorder="1" applyAlignment="1">
      <alignment horizontal="right"/>
    </xf>
    <xf numFmtId="164" fontId="3" fillId="0" borderId="5" xfId="0" applyNumberFormat="1" applyFont="1" applyFill="1" applyBorder="1"/>
    <xf numFmtId="167" fontId="3" fillId="0" borderId="0" xfId="0" applyNumberFormat="1" applyFont="1" applyFill="1" applyBorder="1" applyAlignment="1">
      <alignment horizontal="right"/>
    </xf>
    <xf numFmtId="2" fontId="3" fillId="2" borderId="0" xfId="0" applyNumberFormat="1" applyFont="1" applyFill="1"/>
    <xf numFmtId="0" fontId="7" fillId="0" borderId="0" xfId="0" applyFont="1" applyBorder="1"/>
    <xf numFmtId="0" fontId="6" fillId="0" borderId="0" xfId="0" applyFont="1" applyBorder="1"/>
    <xf numFmtId="164" fontId="6" fillId="0" borderId="0" xfId="0" applyNumberFormat="1" applyFont="1" applyFill="1" applyBorder="1" applyAlignment="1">
      <alignment horizontal="right"/>
    </xf>
    <xf numFmtId="164" fontId="6" fillId="0" borderId="5" xfId="0" applyNumberFormat="1" applyFont="1" applyFill="1" applyBorder="1"/>
    <xf numFmtId="166" fontId="3" fillId="0" borderId="0" xfId="0" applyNumberFormat="1" applyFont="1"/>
    <xf numFmtId="166" fontId="3" fillId="0" borderId="0" xfId="0" applyNumberFormat="1" applyFont="1" applyBorder="1"/>
    <xf numFmtId="0" fontId="3" fillId="0" borderId="0" xfId="0" applyNumberFormat="1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7" fillId="0" borderId="0" xfId="0" applyFont="1" applyFill="1" applyBorder="1"/>
    <xf numFmtId="166" fontId="3" fillId="0" borderId="0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2" fontId="3" fillId="0" borderId="6" xfId="0" quotePrefix="1" applyNumberFormat="1" applyFont="1" applyBorder="1"/>
    <xf numFmtId="2" fontId="6" fillId="0" borderId="0" xfId="0" applyNumberFormat="1" applyFont="1" applyBorder="1"/>
    <xf numFmtId="0" fontId="6" fillId="0" borderId="5" xfId="0" applyFont="1" applyFill="1" applyBorder="1"/>
    <xf numFmtId="2" fontId="6" fillId="0" borderId="6" xfId="0" applyNumberFormat="1" applyFont="1" applyBorder="1"/>
    <xf numFmtId="1" fontId="6" fillId="0" borderId="0" xfId="0" applyNumberFormat="1" applyFont="1" applyBorder="1" applyAlignment="1">
      <alignment horizontal="right"/>
    </xf>
    <xf numFmtId="0" fontId="6" fillId="0" borderId="5" xfId="0" applyNumberFormat="1" applyFont="1" applyFill="1" applyBorder="1"/>
    <xf numFmtId="0" fontId="3" fillId="0" borderId="0" xfId="0" applyNumberFormat="1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3" xfId="0" applyFont="1" applyBorder="1"/>
    <xf numFmtId="164" fontId="3" fillId="0" borderId="3" xfId="0" applyNumberFormat="1" applyFont="1" applyFill="1" applyBorder="1"/>
    <xf numFmtId="1" fontId="3" fillId="0" borderId="4" xfId="0" applyNumberFormat="1" applyFont="1" applyBorder="1"/>
    <xf numFmtId="164" fontId="3" fillId="0" borderId="0" xfId="0" applyNumberFormat="1" applyFont="1" applyBorder="1"/>
    <xf numFmtId="0" fontId="3" fillId="0" borderId="2" xfId="0" applyFont="1" applyBorder="1"/>
    <xf numFmtId="164" fontId="3" fillId="0" borderId="3" xfId="0" applyNumberFormat="1" applyFont="1" applyBorder="1"/>
    <xf numFmtId="1" fontId="3" fillId="0" borderId="6" xfId="0" applyNumberFormat="1" applyFont="1" applyBorder="1"/>
    <xf numFmtId="0" fontId="6" fillId="0" borderId="0" xfId="0" applyFont="1"/>
    <xf numFmtId="166" fontId="3" fillId="0" borderId="5" xfId="0" applyNumberFormat="1" applyFont="1" applyFill="1" applyBorder="1"/>
    <xf numFmtId="0" fontId="7" fillId="0" borderId="0" xfId="0" applyFont="1" applyBorder="1" applyAlignment="1">
      <alignment horizontal="right"/>
    </xf>
    <xf numFmtId="0" fontId="3" fillId="0" borderId="0" xfId="0" applyNumberFormat="1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3" fillId="0" borderId="5" xfId="0" applyFont="1" applyBorder="1" applyAlignment="1">
      <alignment horizontal="right"/>
    </xf>
    <xf numFmtId="164" fontId="9" fillId="0" borderId="0" xfId="0" applyNumberFormat="1" applyFont="1" applyBorder="1" applyAlignment="1">
      <alignment horizontal="right"/>
    </xf>
    <xf numFmtId="2" fontId="3" fillId="0" borderId="2" xfId="0" applyNumberFormat="1" applyFont="1" applyFill="1" applyBorder="1"/>
    <xf numFmtId="1" fontId="3" fillId="0" borderId="3" xfId="0" applyNumberFormat="1" applyFont="1" applyFill="1" applyBorder="1"/>
    <xf numFmtId="2" fontId="3" fillId="0" borderId="4" xfId="0" applyNumberFormat="1" applyFont="1" applyFill="1" applyBorder="1"/>
    <xf numFmtId="0" fontId="3" fillId="0" borderId="6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left"/>
    </xf>
    <xf numFmtId="1" fontId="6" fillId="0" borderId="8" xfId="0" applyNumberFormat="1" applyFont="1" applyBorder="1" applyAlignment="1">
      <alignment horizontal="right"/>
    </xf>
    <xf numFmtId="2" fontId="3" fillId="0" borderId="9" xfId="0" applyNumberFormat="1" applyFont="1" applyBorder="1"/>
    <xf numFmtId="0" fontId="3" fillId="0" borderId="9" xfId="0" applyFont="1" applyFill="1" applyBorder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2" fontId="6" fillId="3" borderId="2" xfId="0" applyNumberFormat="1" applyFont="1" applyFill="1" applyBorder="1" applyAlignment="1">
      <alignment horizontal="center"/>
    </xf>
    <xf numFmtId="2" fontId="6" fillId="3" borderId="3" xfId="0" applyNumberFormat="1" applyFont="1" applyFill="1" applyBorder="1" applyAlignment="1">
      <alignment horizontal="center"/>
    </xf>
    <xf numFmtId="2" fontId="6" fillId="3" borderId="4" xfId="0" applyNumberFormat="1" applyFont="1" applyFill="1" applyBorder="1" applyAlignment="1">
      <alignment horizontal="center"/>
    </xf>
    <xf numFmtId="1" fontId="6" fillId="0" borderId="2" xfId="0" applyNumberFormat="1" applyFont="1" applyFill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1" fontId="6" fillId="0" borderId="4" xfId="0" applyNumberFormat="1" applyFont="1" applyFill="1" applyBorder="1" applyAlignment="1">
      <alignment horizontal="center"/>
    </xf>
    <xf numFmtId="0" fontId="6" fillId="0" borderId="2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89"/>
  <sheetViews>
    <sheetView showGridLines="0" tabSelected="1" topLeftCell="A33" zoomScale="85" zoomScaleNormal="85" workbookViewId="0">
      <selection activeCell="E62" sqref="E62"/>
    </sheetView>
  </sheetViews>
  <sheetFormatPr defaultColWidth="8.90625" defaultRowHeight="13" x14ac:dyDescent="0.3"/>
  <cols>
    <col min="1" max="1" width="8.90625" style="6"/>
    <col min="2" max="2" width="8.6328125" style="6" customWidth="1"/>
    <col min="3" max="3" width="6.54296875" style="6" customWidth="1"/>
    <col min="4" max="4" width="8.90625" style="6"/>
    <col min="5" max="5" width="10" style="6" bestFit="1" customWidth="1"/>
    <col min="6" max="6" width="8.08984375" style="8" customWidth="1"/>
    <col min="7" max="7" width="11.90625" style="6" customWidth="1"/>
    <col min="8" max="8" width="10" style="6" bestFit="1" customWidth="1"/>
    <col min="9" max="9" width="6.90625" style="9" customWidth="1"/>
    <col min="10" max="10" width="17.36328125" style="6" customWidth="1"/>
    <col min="11" max="11" width="10" style="6" bestFit="1" customWidth="1"/>
    <col min="12" max="12" width="6.90625" style="6" customWidth="1"/>
    <col min="13" max="13" width="12.36328125" style="6" bestFit="1" customWidth="1"/>
    <col min="14" max="14" width="9.08984375" style="6" customWidth="1"/>
    <col min="15" max="15" width="8.90625" style="6"/>
    <col min="16" max="16" width="12.54296875" style="6" customWidth="1"/>
    <col min="17" max="16384" width="8.90625" style="6"/>
  </cols>
  <sheetData>
    <row r="1" spans="1:26" x14ac:dyDescent="0.3">
      <c r="A1" s="5"/>
      <c r="E1" s="7" t="s">
        <v>44</v>
      </c>
      <c r="M1" s="10"/>
      <c r="N1" s="10"/>
      <c r="O1" s="11"/>
      <c r="R1" s="10"/>
      <c r="S1" s="12"/>
      <c r="T1" s="10"/>
      <c r="U1" s="10"/>
      <c r="W1" s="11"/>
      <c r="X1" s="11"/>
      <c r="Y1" s="11"/>
      <c r="Z1" s="11"/>
    </row>
    <row r="2" spans="1:26" x14ac:dyDescent="0.3">
      <c r="E2" s="13">
        <f>(size_deg+size_min/60+size_sec/3600)*PI()/180</f>
        <v>4.6542113386515453E-3</v>
      </c>
      <c r="F2" s="6"/>
      <c r="I2" s="6"/>
      <c r="M2" s="10"/>
      <c r="N2" s="10"/>
      <c r="O2" s="11"/>
      <c r="R2" s="10"/>
      <c r="S2" s="12"/>
      <c r="T2" s="10"/>
      <c r="U2" s="10"/>
      <c r="W2" s="11"/>
      <c r="X2" s="11"/>
      <c r="Y2" s="11"/>
      <c r="Z2" s="11"/>
    </row>
    <row r="3" spans="1:26" ht="13.5" thickBot="1" x14ac:dyDescent="0.35">
      <c r="A3" s="7"/>
      <c r="F3" s="6"/>
      <c r="I3" s="6"/>
      <c r="M3" s="10"/>
      <c r="N3" s="10"/>
      <c r="O3" s="11"/>
      <c r="R3" s="10"/>
      <c r="S3" s="12"/>
      <c r="T3" s="10"/>
      <c r="U3" s="10"/>
      <c r="W3" s="11"/>
      <c r="X3" s="11"/>
      <c r="Y3" s="11"/>
      <c r="Z3" s="11"/>
    </row>
    <row r="4" spans="1:26" x14ac:dyDescent="0.3">
      <c r="A4" s="124" t="s">
        <v>55</v>
      </c>
      <c r="B4" s="125"/>
      <c r="C4" s="126"/>
      <c r="D4" s="124" t="s">
        <v>57</v>
      </c>
      <c r="E4" s="125"/>
      <c r="F4" s="126"/>
      <c r="G4" s="124" t="s">
        <v>106</v>
      </c>
      <c r="H4" s="125"/>
      <c r="I4" s="126"/>
      <c r="J4" s="131" t="s">
        <v>14</v>
      </c>
      <c r="K4" s="132"/>
      <c r="L4" s="133"/>
      <c r="M4" s="10"/>
      <c r="N4" s="10"/>
      <c r="O4" s="11"/>
      <c r="R4" s="10"/>
      <c r="S4" s="12"/>
      <c r="T4" s="10"/>
      <c r="U4" s="10"/>
      <c r="W4" s="11"/>
      <c r="X4" s="11"/>
      <c r="Y4" s="11"/>
      <c r="Z4" s="11"/>
    </row>
    <row r="5" spans="1:26" x14ac:dyDescent="0.3">
      <c r="A5" s="14" t="s">
        <v>34</v>
      </c>
      <c r="B5" s="15">
        <v>0</v>
      </c>
      <c r="C5" s="16" t="s">
        <v>7</v>
      </c>
      <c r="G5" s="17" t="s">
        <v>17</v>
      </c>
      <c r="H5" s="18">
        <v>66</v>
      </c>
      <c r="I5" s="19" t="s">
        <v>16</v>
      </c>
      <c r="J5" s="20" t="s">
        <v>17</v>
      </c>
      <c r="K5" s="21">
        <v>200</v>
      </c>
      <c r="L5" s="22" t="s">
        <v>16</v>
      </c>
      <c r="M5" s="10"/>
      <c r="N5" s="10"/>
      <c r="O5" s="11"/>
      <c r="R5" s="10"/>
      <c r="S5" s="12"/>
      <c r="T5" s="10"/>
      <c r="U5" s="10"/>
      <c r="W5" s="11"/>
      <c r="X5" s="11"/>
      <c r="Y5" s="11"/>
      <c r="Z5" s="11"/>
    </row>
    <row r="6" spans="1:26" x14ac:dyDescent="0.3">
      <c r="A6" s="14"/>
      <c r="B6" s="15">
        <v>16</v>
      </c>
      <c r="C6" s="16" t="s">
        <v>8</v>
      </c>
      <c r="G6" s="17" t="s">
        <v>19</v>
      </c>
      <c r="H6" s="23">
        <f>206265*1.22*(0.00000056)/(JCI_obj/1000)</f>
        <v>2.1351552727272725</v>
      </c>
      <c r="I6" s="19" t="s">
        <v>20</v>
      </c>
      <c r="J6" s="20" t="s">
        <v>19</v>
      </c>
      <c r="K6" s="23">
        <f>206265*1.22*(0.00000056)/(Celst_obj/1000)</f>
        <v>0.70460123999999991</v>
      </c>
      <c r="L6" s="22" t="s">
        <v>20</v>
      </c>
      <c r="M6" s="10"/>
      <c r="N6" s="10"/>
      <c r="O6" s="11"/>
      <c r="R6" s="10"/>
      <c r="S6" s="12"/>
      <c r="T6" s="10"/>
      <c r="U6" s="10"/>
      <c r="W6" s="11"/>
      <c r="X6" s="11"/>
      <c r="Y6" s="11"/>
      <c r="Z6" s="11"/>
    </row>
    <row r="7" spans="1:26" x14ac:dyDescent="0.3">
      <c r="A7" s="14"/>
      <c r="B7" s="15">
        <v>0</v>
      </c>
      <c r="C7" s="16" t="s">
        <v>9</v>
      </c>
      <c r="D7" s="14" t="s">
        <v>1</v>
      </c>
      <c r="E7" s="24">
        <v>100</v>
      </c>
      <c r="F7" s="25" t="s">
        <v>11</v>
      </c>
      <c r="G7" s="17" t="s">
        <v>25</v>
      </c>
      <c r="H7" s="18">
        <v>11.9</v>
      </c>
      <c r="I7" s="19"/>
      <c r="J7" s="17" t="s">
        <v>25</v>
      </c>
      <c r="K7" s="26">
        <v>14</v>
      </c>
      <c r="L7" s="19"/>
      <c r="M7" s="10"/>
      <c r="N7" s="10"/>
      <c r="O7" s="11"/>
      <c r="R7" s="10"/>
      <c r="S7" s="12"/>
      <c r="T7" s="10"/>
      <c r="U7" s="10"/>
      <c r="W7" s="11"/>
      <c r="X7" s="11"/>
      <c r="Y7" s="11"/>
      <c r="Z7" s="11"/>
    </row>
    <row r="8" spans="1:26" x14ac:dyDescent="0.3">
      <c r="A8" s="14" t="s">
        <v>58</v>
      </c>
      <c r="B8" s="15">
        <v>8</v>
      </c>
      <c r="C8" s="16" t="s">
        <v>12</v>
      </c>
      <c r="G8" s="27" t="s">
        <v>28</v>
      </c>
      <c r="H8" s="18">
        <v>150</v>
      </c>
      <c r="I8" s="28" t="s">
        <v>16</v>
      </c>
      <c r="J8" s="20" t="s">
        <v>30</v>
      </c>
      <c r="K8" s="29">
        <v>150</v>
      </c>
      <c r="L8" s="22" t="s">
        <v>16</v>
      </c>
      <c r="M8" s="10"/>
      <c r="N8" s="10"/>
      <c r="O8" s="11"/>
      <c r="R8" s="10"/>
      <c r="S8" s="12"/>
      <c r="T8" s="10"/>
      <c r="U8" s="10"/>
      <c r="W8" s="11"/>
      <c r="X8" s="11"/>
      <c r="Y8" s="11"/>
      <c r="Z8" s="11"/>
    </row>
    <row r="9" spans="1:26" ht="13.5" thickBot="1" x14ac:dyDescent="0.35">
      <c r="A9" s="17" t="s">
        <v>89</v>
      </c>
      <c r="B9" s="18"/>
      <c r="C9" s="19"/>
      <c r="G9" s="27"/>
      <c r="H9" s="18"/>
      <c r="I9" s="19"/>
      <c r="J9" s="17"/>
      <c r="K9" s="18"/>
      <c r="L9" s="19"/>
      <c r="M9" s="10"/>
      <c r="N9" s="10"/>
      <c r="O9" s="11"/>
      <c r="R9" s="10"/>
      <c r="S9" s="12"/>
      <c r="T9" s="10"/>
      <c r="U9" s="10"/>
      <c r="W9" s="11"/>
      <c r="X9" s="11"/>
      <c r="Y9" s="11"/>
      <c r="Z9" s="11"/>
    </row>
    <row r="10" spans="1:26" x14ac:dyDescent="0.3">
      <c r="A10" s="124" t="s">
        <v>56</v>
      </c>
      <c r="B10" s="125"/>
      <c r="C10" s="126"/>
      <c r="G10" s="30" t="s">
        <v>33</v>
      </c>
      <c r="H10" s="18"/>
      <c r="I10" s="19"/>
      <c r="J10" s="30" t="s">
        <v>33</v>
      </c>
      <c r="K10" s="18"/>
      <c r="L10" s="19"/>
      <c r="M10" s="10"/>
      <c r="N10" s="10"/>
      <c r="O10" s="11"/>
      <c r="R10" s="10"/>
      <c r="S10" s="12"/>
      <c r="T10" s="10"/>
      <c r="U10" s="10"/>
      <c r="W10" s="11"/>
      <c r="X10" s="11"/>
      <c r="Y10" s="11"/>
      <c r="Z10" s="11"/>
    </row>
    <row r="11" spans="1:26" x14ac:dyDescent="0.3">
      <c r="A11" s="14" t="s">
        <v>2</v>
      </c>
      <c r="B11" s="15">
        <v>19</v>
      </c>
      <c r="C11" s="16" t="s">
        <v>7</v>
      </c>
      <c r="G11" s="31" t="s">
        <v>36</v>
      </c>
      <c r="H11" s="32">
        <v>40</v>
      </c>
      <c r="I11" s="33" t="s">
        <v>16</v>
      </c>
      <c r="J11" s="31" t="s">
        <v>36</v>
      </c>
      <c r="K11" s="32">
        <v>40</v>
      </c>
      <c r="L11" s="33" t="s">
        <v>16</v>
      </c>
      <c r="M11" s="10"/>
      <c r="N11" s="10"/>
      <c r="O11" s="11"/>
      <c r="R11" s="10"/>
      <c r="S11" s="12"/>
      <c r="T11" s="10"/>
      <c r="U11" s="10"/>
      <c r="W11" s="11"/>
      <c r="X11" s="11"/>
      <c r="Y11" s="11"/>
      <c r="Z11" s="11"/>
    </row>
    <row r="12" spans="1:26" x14ac:dyDescent="0.3">
      <c r="A12" s="14" t="s">
        <v>45</v>
      </c>
      <c r="B12" s="34">
        <f>1/COS((90-alt)*PI()/180)</f>
        <v>3.0715534867572414</v>
      </c>
      <c r="C12" s="16"/>
      <c r="F12" s="6"/>
      <c r="G12" s="20" t="s">
        <v>107</v>
      </c>
      <c r="H12" s="32" t="s">
        <v>22</v>
      </c>
      <c r="I12" s="28"/>
      <c r="J12" s="20" t="s">
        <v>80</v>
      </c>
      <c r="K12" s="32" t="s">
        <v>22</v>
      </c>
      <c r="L12" s="28"/>
      <c r="M12" s="10" t="s">
        <v>81</v>
      </c>
      <c r="N12" s="10"/>
      <c r="O12" s="11"/>
      <c r="R12" s="10"/>
      <c r="S12" s="12"/>
      <c r="T12" s="10"/>
      <c r="U12" s="10"/>
      <c r="W12" s="11"/>
      <c r="X12" s="11"/>
      <c r="Y12" s="11"/>
      <c r="Z12" s="11"/>
    </row>
    <row r="13" spans="1:26" x14ac:dyDescent="0.3">
      <c r="A13" s="35" t="s">
        <v>3</v>
      </c>
      <c r="B13" s="36">
        <f>IF(alt&gt;=5,secz-0.0018167*(secz-1)-0.002875*(secz-1)^2-0.0008083*(secz-1)^3,"Too Low")</f>
        <v>3.0482669439070178</v>
      </c>
      <c r="C13" s="19"/>
      <c r="F13" s="6"/>
      <c r="G13" s="37" t="s">
        <v>15</v>
      </c>
      <c r="H13" s="21">
        <f>IF(JCI_bar="y", 402*0.63,402)</f>
        <v>402</v>
      </c>
      <c r="I13" s="38" t="s">
        <v>16</v>
      </c>
      <c r="J13" s="37" t="s">
        <v>15</v>
      </c>
      <c r="K13" s="21">
        <f>IF(Celst_red="r", 1260,IF(Celst_red="b",4000,IF(Celst_red="db",6000,2000)))</f>
        <v>2000</v>
      </c>
      <c r="L13" s="38" t="s">
        <v>16</v>
      </c>
      <c r="M13" s="39" t="s">
        <v>90</v>
      </c>
      <c r="N13" s="10"/>
      <c r="O13" s="11"/>
      <c r="R13" s="10"/>
      <c r="S13" s="12"/>
      <c r="T13" s="10"/>
      <c r="U13" s="10"/>
      <c r="W13" s="11"/>
      <c r="X13" s="11"/>
      <c r="Y13" s="11"/>
      <c r="Z13" s="11"/>
    </row>
    <row r="14" spans="1:26" x14ac:dyDescent="0.3">
      <c r="A14" s="14" t="s">
        <v>4</v>
      </c>
      <c r="B14" s="15">
        <v>0.2</v>
      </c>
      <c r="C14" s="19" t="s">
        <v>104</v>
      </c>
      <c r="F14" s="6"/>
      <c r="G14" s="31" t="s">
        <v>18</v>
      </c>
      <c r="H14" s="40">
        <f>H13/JCI_obj</f>
        <v>6.0909090909090908</v>
      </c>
      <c r="I14" s="38"/>
      <c r="J14" s="31" t="s">
        <v>18</v>
      </c>
      <c r="K14" s="41">
        <f>K13/Celst_obj</f>
        <v>10</v>
      </c>
      <c r="L14" s="38"/>
      <c r="M14" s="42" t="s">
        <v>91</v>
      </c>
      <c r="N14" s="10"/>
      <c r="O14" s="11"/>
      <c r="R14" s="10"/>
      <c r="S14" s="12"/>
      <c r="T14" s="10"/>
      <c r="U14" s="10"/>
      <c r="W14" s="11"/>
      <c r="X14" s="11"/>
      <c r="Y14" s="11"/>
      <c r="Z14" s="11"/>
    </row>
    <row r="15" spans="1:26" x14ac:dyDescent="0.3">
      <c r="A15" s="14" t="s">
        <v>5</v>
      </c>
      <c r="B15" s="36">
        <f>IF(alt&gt;=5,k*X,"Too Low")</f>
        <v>0.60965338878140363</v>
      </c>
      <c r="C15" s="43" t="s">
        <v>12</v>
      </c>
      <c r="F15" s="6"/>
      <c r="G15" s="44" t="s">
        <v>39</v>
      </c>
      <c r="H15" s="45">
        <f>H13/JCI_oc</f>
        <v>10.050000000000001</v>
      </c>
      <c r="I15" s="46" t="s">
        <v>24</v>
      </c>
      <c r="J15" s="44" t="s">
        <v>39</v>
      </c>
      <c r="K15" s="45">
        <f>K13/Celst_oc</f>
        <v>50</v>
      </c>
      <c r="L15" s="46" t="s">
        <v>24</v>
      </c>
      <c r="M15" s="10"/>
      <c r="N15" s="10"/>
      <c r="O15" s="11"/>
      <c r="R15" s="10"/>
      <c r="S15" s="12"/>
      <c r="T15" s="10"/>
      <c r="U15" s="10"/>
      <c r="W15" s="11"/>
      <c r="X15" s="11"/>
      <c r="Y15" s="11"/>
      <c r="Z15" s="11"/>
    </row>
    <row r="16" spans="1:26" x14ac:dyDescent="0.3">
      <c r="A16" s="14" t="s">
        <v>6</v>
      </c>
      <c r="B16" s="47">
        <f>IF(alt&gt;=5,-(ext-k),"Too Low")</f>
        <v>-0.40965338878140362</v>
      </c>
      <c r="C16" s="48" t="s">
        <v>12</v>
      </c>
      <c r="F16" s="6"/>
      <c r="G16" s="31" t="s">
        <v>41</v>
      </c>
      <c r="H16" s="40">
        <f>IF(JCI_oc=7.5,42,IF(JCI_oc=25,40,IF(JCI_oc=32,50,IF(JCI_oc=14,60,34))))</f>
        <v>34</v>
      </c>
      <c r="I16" s="33" t="s">
        <v>7</v>
      </c>
      <c r="J16" s="31" t="s">
        <v>41</v>
      </c>
      <c r="K16" s="40">
        <f>IF(Celst_oc=7.5,42,IF(Celst_oc=25,40,IF(Celst_oc=32,50,IF(Celst_oc=14,60,34))))</f>
        <v>34</v>
      </c>
      <c r="L16" s="33" t="s">
        <v>7</v>
      </c>
      <c r="M16" s="10"/>
      <c r="N16" s="10"/>
      <c r="O16" s="11"/>
      <c r="R16" s="10"/>
      <c r="S16" s="12"/>
      <c r="T16" s="10"/>
      <c r="U16" s="10"/>
      <c r="W16" s="11"/>
      <c r="X16" s="11"/>
      <c r="Y16" s="11"/>
      <c r="Z16" s="11"/>
    </row>
    <row r="17" spans="1:26" ht="13.5" thickBot="1" x14ac:dyDescent="0.35">
      <c r="A17" s="49" t="s">
        <v>54</v>
      </c>
      <c r="B17" s="50">
        <f>LOG(2.511^B16)/LOG(2)</f>
        <v>-0.5441270412095075</v>
      </c>
      <c r="C17" s="51" t="s">
        <v>13</v>
      </c>
      <c r="F17" s="6"/>
      <c r="G17" s="31" t="s">
        <v>42</v>
      </c>
      <c r="H17" s="23">
        <f>ATAN((TAN(H16*PI()/360)*JCI_oc)/H13)*360/PI()</f>
        <v>3.4849108606351766</v>
      </c>
      <c r="I17" s="46" t="s">
        <v>7</v>
      </c>
      <c r="J17" s="31" t="s">
        <v>42</v>
      </c>
      <c r="K17" s="23">
        <f>ATAN((TAN(K16*PI()/360)*Celst_oc)/K13)*360/PI()*60</f>
        <v>42.040462578523254</v>
      </c>
      <c r="L17" s="46" t="s">
        <v>8</v>
      </c>
      <c r="M17" s="10"/>
      <c r="N17" s="10"/>
      <c r="O17" s="11"/>
      <c r="R17" s="10"/>
      <c r="S17" s="12"/>
      <c r="T17" s="10"/>
      <c r="U17" s="10"/>
      <c r="W17" s="11"/>
      <c r="X17" s="11"/>
      <c r="Y17" s="11"/>
      <c r="Z17" s="11"/>
    </row>
    <row r="18" spans="1:26" x14ac:dyDescent="0.3">
      <c r="A18" s="7"/>
      <c r="F18" s="6"/>
      <c r="G18" s="31" t="s">
        <v>43</v>
      </c>
      <c r="H18" s="23">
        <f>size_rad*jci_mag*180/PI()</f>
        <v>1.9025988999869408</v>
      </c>
      <c r="I18" s="46" t="s">
        <v>7</v>
      </c>
      <c r="J18" s="31" t="s">
        <v>43</v>
      </c>
      <c r="K18" s="23">
        <f>size_rad*celst_magnif*180/PI()</f>
        <v>13.333333333333334</v>
      </c>
      <c r="L18" s="46" t="s">
        <v>7</v>
      </c>
      <c r="M18" s="10"/>
      <c r="N18" s="10"/>
      <c r="O18" s="11"/>
      <c r="R18" s="10"/>
      <c r="S18" s="12"/>
      <c r="T18" s="10"/>
      <c r="U18" s="10"/>
      <c r="W18" s="11"/>
      <c r="X18" s="11"/>
      <c r="Y18" s="11"/>
      <c r="Z18" s="11"/>
    </row>
    <row r="19" spans="1:26" ht="13.5" thickBot="1" x14ac:dyDescent="0.35">
      <c r="F19" s="6"/>
      <c r="G19" s="52"/>
      <c r="H19" s="53"/>
      <c r="I19" s="54"/>
      <c r="L19" s="19"/>
      <c r="O19" s="10"/>
      <c r="P19" s="12"/>
      <c r="Q19" s="10"/>
      <c r="R19" s="10"/>
      <c r="T19" s="11"/>
      <c r="U19" s="11"/>
      <c r="V19" s="11"/>
      <c r="W19" s="11"/>
    </row>
    <row r="20" spans="1:26" s="57" customFormat="1" ht="13.5" thickBot="1" x14ac:dyDescent="0.35">
      <c r="A20" s="128" t="s">
        <v>64</v>
      </c>
      <c r="B20" s="129"/>
      <c r="C20" s="130"/>
      <c r="D20" s="122" t="s">
        <v>65</v>
      </c>
      <c r="E20" s="122"/>
      <c r="F20" s="122"/>
      <c r="G20" s="122"/>
      <c r="H20" s="122"/>
      <c r="I20" s="122"/>
      <c r="J20" s="122"/>
      <c r="K20" s="122"/>
      <c r="L20" s="123"/>
      <c r="M20" s="10"/>
      <c r="N20" s="6"/>
      <c r="O20" s="55"/>
      <c r="P20" s="55"/>
      <c r="Q20" s="56"/>
      <c r="R20" s="56"/>
      <c r="S20" s="6"/>
      <c r="T20" s="6"/>
      <c r="U20" s="6"/>
      <c r="V20" s="6"/>
      <c r="W20" s="6"/>
    </row>
    <row r="21" spans="1:26" s="57" customFormat="1" x14ac:dyDescent="0.3">
      <c r="A21" s="17" t="s">
        <v>27</v>
      </c>
      <c r="B21" s="18">
        <f>Ric_FL/Ric_fr</f>
        <v>54</v>
      </c>
      <c r="C21" s="19" t="s">
        <v>16</v>
      </c>
      <c r="D21" s="18" t="s">
        <v>19</v>
      </c>
      <c r="E21" s="23">
        <f>206265*1.22*(0.00000056)/(Ric_ap/1000)</f>
        <v>2.6096342222222222</v>
      </c>
      <c r="F21" s="18" t="s">
        <v>20</v>
      </c>
      <c r="G21" s="58" t="s">
        <v>21</v>
      </c>
      <c r="H21" s="59" t="s">
        <v>109</v>
      </c>
      <c r="I21" s="60"/>
      <c r="J21" s="58" t="s">
        <v>21</v>
      </c>
      <c r="K21" s="59" t="s">
        <v>22</v>
      </c>
      <c r="L21" s="60"/>
      <c r="M21" s="10"/>
      <c r="N21" s="6"/>
      <c r="O21" s="61"/>
      <c r="P21" s="61"/>
      <c r="Q21" s="62"/>
      <c r="R21" s="61"/>
      <c r="S21" s="6"/>
      <c r="T21" s="6"/>
      <c r="U21" s="6"/>
      <c r="V21" s="6"/>
      <c r="W21" s="6"/>
    </row>
    <row r="22" spans="1:26" s="9" customFormat="1" x14ac:dyDescent="0.3">
      <c r="A22" s="17" t="s">
        <v>38</v>
      </c>
      <c r="B22" s="63">
        <f>206265*1.22*(0.00000056)/(Ric_ap/1000)</f>
        <v>2.6096342222222222</v>
      </c>
      <c r="C22" s="19" t="s">
        <v>20</v>
      </c>
      <c r="D22" s="18" t="s">
        <v>26</v>
      </c>
      <c r="E22" s="18">
        <f>Ric_ap*Ric_EFR</f>
        <v>135</v>
      </c>
      <c r="F22" s="18" t="s">
        <v>16</v>
      </c>
      <c r="G22" s="37" t="s">
        <v>26</v>
      </c>
      <c r="H22" s="21">
        <f>H23*JCI_obj</f>
        <v>402</v>
      </c>
      <c r="I22" s="22" t="s">
        <v>16</v>
      </c>
      <c r="J22" s="37" t="s">
        <v>26</v>
      </c>
      <c r="K22" s="21">
        <f>K23*Celst_obj</f>
        <v>5500</v>
      </c>
      <c r="L22" s="22" t="s">
        <v>16</v>
      </c>
      <c r="M22" s="62"/>
      <c r="N22" s="62"/>
      <c r="O22" s="64"/>
      <c r="P22" s="64"/>
      <c r="Q22" s="62"/>
      <c r="R22" s="62"/>
      <c r="S22" s="6"/>
      <c r="T22" s="6"/>
      <c r="U22" s="6"/>
      <c r="V22" s="6"/>
      <c r="W22" s="6"/>
    </row>
    <row r="23" spans="1:26" s="9" customFormat="1" x14ac:dyDescent="0.3">
      <c r="A23" s="65" t="s">
        <v>25</v>
      </c>
      <c r="B23" s="63" t="s">
        <v>63</v>
      </c>
      <c r="C23" s="66"/>
      <c r="D23" s="18" t="s">
        <v>29</v>
      </c>
      <c r="E23" s="18">
        <f>Ric_tel*Ric_fr</f>
        <v>2.5</v>
      </c>
      <c r="F23" s="18"/>
      <c r="G23" s="37" t="s">
        <v>29</v>
      </c>
      <c r="H23" s="67">
        <f>IF(JCI_Prime="y",1,JCI_proj/JCI_oc-1)*H13/JCI_obj</f>
        <v>6.0909090909090908</v>
      </c>
      <c r="I23" s="68"/>
      <c r="J23" s="37" t="s">
        <v>29</v>
      </c>
      <c r="K23" s="67">
        <f>IF(Prime="y",1,Celst_proj/Celst_oc-1)*K13/Celst_obj</f>
        <v>27.5</v>
      </c>
      <c r="L23" s="68"/>
      <c r="M23" s="69" t="s">
        <v>92</v>
      </c>
      <c r="N23" s="70"/>
      <c r="O23" s="71"/>
      <c r="P23" s="71"/>
      <c r="Q23" s="70"/>
      <c r="R23" s="70"/>
      <c r="S23" s="6"/>
      <c r="T23" s="6"/>
      <c r="U23" s="6"/>
      <c r="V23" s="6"/>
      <c r="W23" s="6"/>
    </row>
    <row r="24" spans="1:26" s="9" customFormat="1" x14ac:dyDescent="0.3">
      <c r="A24" s="27" t="s">
        <v>28</v>
      </c>
      <c r="B24" s="18" t="s">
        <v>63</v>
      </c>
      <c r="C24" s="66" t="s">
        <v>16</v>
      </c>
      <c r="D24" s="18" t="s">
        <v>31</v>
      </c>
      <c r="E24" s="72">
        <f>1/(2*Ric_EFL*TAN((PI()/(180*60))/2))</f>
        <v>25.46479071514263</v>
      </c>
      <c r="F24" s="18" t="s">
        <v>35</v>
      </c>
      <c r="G24" s="73" t="s">
        <v>31</v>
      </c>
      <c r="H24" s="74">
        <f>1/(2*JCI_EFL*TAN((PI()/(180*3600))/2))</f>
        <v>513.09653295197108</v>
      </c>
      <c r="I24" s="68" t="s">
        <v>32</v>
      </c>
      <c r="J24" s="73" t="s">
        <v>31</v>
      </c>
      <c r="K24" s="74">
        <f>1/(2*Celst_EFL*TAN((PI()/(180*3600))/2))</f>
        <v>37.502692044853156</v>
      </c>
      <c r="L24" s="68" t="s">
        <v>32</v>
      </c>
      <c r="M24" s="75" t="s">
        <v>93</v>
      </c>
    </row>
    <row r="25" spans="1:26" s="9" customFormat="1" x14ac:dyDescent="0.3">
      <c r="A25" s="17" t="s">
        <v>23</v>
      </c>
      <c r="B25" s="76">
        <v>1</v>
      </c>
      <c r="C25" s="19" t="s">
        <v>24</v>
      </c>
      <c r="D25" s="77" t="s">
        <v>34</v>
      </c>
      <c r="E25" s="78">
        <f>sizes(size_rad,Ric_EFL)</f>
        <v>0.62831966492349478</v>
      </c>
      <c r="F25" s="18" t="s">
        <v>16</v>
      </c>
      <c r="G25" s="79" t="s">
        <v>34</v>
      </c>
      <c r="H25" s="78">
        <f>sizes(size_rad,JCI_EFL)</f>
        <v>1.8709963355499621</v>
      </c>
      <c r="I25" s="68" t="s">
        <v>16</v>
      </c>
      <c r="J25" s="79" t="s">
        <v>34</v>
      </c>
      <c r="K25" s="78">
        <f>sizes(size_rad,Celst_EFL)</f>
        <v>25.598208570957194</v>
      </c>
      <c r="L25" s="68" t="s">
        <v>16</v>
      </c>
    </row>
    <row r="26" spans="1:26" s="9" customFormat="1" x14ac:dyDescent="0.3">
      <c r="A26" s="17" t="s">
        <v>15</v>
      </c>
      <c r="B26" s="76">
        <v>135</v>
      </c>
      <c r="C26" s="19" t="s">
        <v>16</v>
      </c>
      <c r="D26" s="9" t="s">
        <v>69</v>
      </c>
      <c r="E26" s="80">
        <f>E25/(2*17.1)</f>
        <v>1.8371920027002771E-2</v>
      </c>
      <c r="F26" s="9" t="s">
        <v>70</v>
      </c>
      <c r="G26" s="65" t="s">
        <v>69</v>
      </c>
      <c r="H26" s="81">
        <f>H25/(2*17.1)</f>
        <v>5.4707495191519358E-2</v>
      </c>
      <c r="I26" s="66" t="s">
        <v>70</v>
      </c>
      <c r="J26" s="65" t="s">
        <v>69</v>
      </c>
      <c r="K26" s="81">
        <f>K25/(2*17.1)</f>
        <v>0.7484856307297425</v>
      </c>
      <c r="L26" s="66" t="s">
        <v>70</v>
      </c>
    </row>
    <row r="27" spans="1:26" s="9" customFormat="1" x14ac:dyDescent="0.3">
      <c r="A27" s="17" t="s">
        <v>18</v>
      </c>
      <c r="B27" s="76">
        <v>2.5</v>
      </c>
      <c r="C27" s="19"/>
      <c r="D27" s="18" t="s">
        <v>37</v>
      </c>
      <c r="E27" s="72">
        <f>2*ATAN(11.45/Ric_EFL)*180/PI()</f>
        <v>9.6958570694440578</v>
      </c>
      <c r="F27" s="82" t="s">
        <v>7</v>
      </c>
      <c r="G27" s="83" t="s">
        <v>37</v>
      </c>
      <c r="H27" s="67">
        <f>2*ATAN(11.45/JCI_EFL)*180/PI()</f>
        <v>3.2629818745186756</v>
      </c>
      <c r="I27" s="33" t="s">
        <v>7</v>
      </c>
      <c r="J27" s="83" t="s">
        <v>37</v>
      </c>
      <c r="K27" s="67">
        <f>2*ATAN(11.45/Celst_EFL)*180/PI()*60</f>
        <v>14.313506785749141</v>
      </c>
      <c r="L27" s="33" t="s">
        <v>8</v>
      </c>
    </row>
    <row r="28" spans="1:26" x14ac:dyDescent="0.3">
      <c r="A28" s="84" t="s">
        <v>68</v>
      </c>
      <c r="B28" s="76">
        <v>60</v>
      </c>
      <c r="C28" s="19" t="s">
        <v>9</v>
      </c>
      <c r="D28" s="18"/>
      <c r="E28" s="72">
        <f>2*ATAN(17.1/Ric_EFL)*180/PI()</f>
        <v>14.438041649739326</v>
      </c>
      <c r="F28" s="18" t="s">
        <v>7</v>
      </c>
      <c r="G28" s="31"/>
      <c r="H28" s="67">
        <f>2*ATAN(17.1/JCI_EFL)*180/PI()</f>
        <v>4.871480289876378</v>
      </c>
      <c r="I28" s="46" t="s">
        <v>7</v>
      </c>
      <c r="J28" s="31"/>
      <c r="K28" s="67">
        <f>2*ATAN(17.1/Celst_EFL)*180/PI()*60</f>
        <v>21.376465587633625</v>
      </c>
      <c r="L28" s="46" t="s">
        <v>8</v>
      </c>
    </row>
    <row r="29" spans="1:26" x14ac:dyDescent="0.3">
      <c r="A29" s="31" t="s">
        <v>0</v>
      </c>
      <c r="B29" s="85">
        <v>1600</v>
      </c>
      <c r="C29" s="19" t="s">
        <v>10</v>
      </c>
      <c r="D29" s="41" t="s">
        <v>38</v>
      </c>
      <c r="E29" s="86">
        <f>E21/206265*Ric_EFL</f>
        <v>1.7080000000000001E-3</v>
      </c>
      <c r="F29" s="18" t="s">
        <v>16</v>
      </c>
      <c r="G29" s="31" t="s">
        <v>38</v>
      </c>
      <c r="H29" s="72">
        <f>JCI_res*JCI_EFL/206265</f>
        <v>4.1613090909090903E-3</v>
      </c>
      <c r="I29" s="46" t="s">
        <v>16</v>
      </c>
      <c r="J29" s="31" t="s">
        <v>38</v>
      </c>
      <c r="K29" s="72">
        <f>Celst_res*Celst_EFL/206265</f>
        <v>1.8787999999999996E-2</v>
      </c>
      <c r="L29" s="46" t="s">
        <v>16</v>
      </c>
    </row>
    <row r="30" spans="1:26" x14ac:dyDescent="0.3">
      <c r="A30" s="84" t="s">
        <v>59</v>
      </c>
      <c r="B30" s="87">
        <v>0.75</v>
      </c>
      <c r="C30" s="88" t="s">
        <v>71</v>
      </c>
      <c r="D30" s="77" t="s">
        <v>13</v>
      </c>
      <c r="E30" s="89">
        <f>fx(Ric_exp,eff_ISO,Ric_EFR,txmsn)</f>
        <v>30.424206261217797</v>
      </c>
      <c r="F30" s="89"/>
      <c r="G30" s="90" t="s">
        <v>13</v>
      </c>
      <c r="H30" s="89">
        <f>fx(Ric_exp,eff_ISO,H23,txmsn)</f>
        <v>27.854747307351573</v>
      </c>
      <c r="I30" s="91"/>
      <c r="J30" s="90" t="s">
        <v>13</v>
      </c>
      <c r="K30" s="89">
        <f>fx(Ric_exp,eff_ISO,K23,txmsn)</f>
        <v>23.505343023943205</v>
      </c>
      <c r="L30" s="91"/>
    </row>
    <row r="31" spans="1:26" x14ac:dyDescent="0.3">
      <c r="A31" s="84" t="s">
        <v>60</v>
      </c>
      <c r="B31" s="92">
        <f>Ric_ISO*(Ric_exp+1)^(B30-1)</f>
        <v>572.51586233764181</v>
      </c>
      <c r="C31" s="66"/>
      <c r="D31" s="77" t="s">
        <v>40</v>
      </c>
      <c r="E31" s="89">
        <f>mag(Ric_exp,eff_ISO,Ric_ap,txmsn)</f>
        <v>6.7004859491585504</v>
      </c>
      <c r="F31" s="89"/>
      <c r="G31" s="93" t="s">
        <v>40</v>
      </c>
      <c r="H31" s="89">
        <f>mag(Ric_exp,eff_ISO,H5,txmsn)</f>
        <v>7.1347458749510277</v>
      </c>
      <c r="I31" s="91"/>
      <c r="J31" s="93" t="s">
        <v>40</v>
      </c>
      <c r="K31" s="89">
        <f>mag(Ric_exp,eff_ISO,K5,txmsn)</f>
        <v>9.5339389805754333</v>
      </c>
      <c r="L31" s="91"/>
    </row>
    <row r="32" spans="1:26" x14ac:dyDescent="0.3">
      <c r="A32" s="84" t="s">
        <v>61</v>
      </c>
      <c r="B32" s="18">
        <f>LOG(2^B33)/LOG(2.511)</f>
        <v>-1.1162589176346303</v>
      </c>
      <c r="C32" s="19"/>
      <c r="D32" s="18"/>
      <c r="E32" s="18"/>
      <c r="F32" s="18"/>
      <c r="G32" s="65"/>
      <c r="H32" s="63"/>
      <c r="I32" s="66"/>
      <c r="J32" s="17"/>
      <c r="K32" s="18"/>
      <c r="L32" s="19"/>
    </row>
    <row r="33" spans="1:14" ht="13.5" thickBot="1" x14ac:dyDescent="0.35">
      <c r="A33" s="84" t="s">
        <v>62</v>
      </c>
      <c r="B33" s="94">
        <f>LOG(eff_ISO/Ric_ISO)/LOG(2)</f>
        <v>-1.4826843343907217</v>
      </c>
      <c r="C33" s="19"/>
      <c r="D33" s="18"/>
      <c r="E33" s="18"/>
      <c r="F33" s="41"/>
      <c r="G33" s="95"/>
      <c r="H33" s="96"/>
      <c r="I33" s="97"/>
      <c r="J33" s="95"/>
      <c r="K33" s="96"/>
      <c r="L33" s="97"/>
    </row>
    <row r="34" spans="1:14" ht="13.5" thickBot="1" x14ac:dyDescent="0.35">
      <c r="A34" s="134" t="s">
        <v>66</v>
      </c>
      <c r="B34" s="135"/>
      <c r="C34" s="136"/>
      <c r="D34" s="122" t="s">
        <v>67</v>
      </c>
      <c r="E34" s="122"/>
      <c r="F34" s="122"/>
      <c r="G34" s="122"/>
      <c r="H34" s="122"/>
      <c r="I34" s="122"/>
      <c r="J34" s="122"/>
      <c r="K34" s="122"/>
      <c r="L34" s="123"/>
    </row>
    <row r="35" spans="1:14" x14ac:dyDescent="0.3">
      <c r="A35" s="17" t="s">
        <v>27</v>
      </c>
      <c r="B35" s="26">
        <f>OL_FL/OL_FR</f>
        <v>4.875</v>
      </c>
      <c r="C35" s="19" t="s">
        <v>16</v>
      </c>
      <c r="D35" s="98" t="s">
        <v>19</v>
      </c>
      <c r="E35" s="99">
        <f>206265*1.22*(0.00000056)/(OL_Ap/1000)</f>
        <v>28.906717538461539</v>
      </c>
      <c r="F35" s="100" t="s">
        <v>20</v>
      </c>
      <c r="G35" s="18" t="s">
        <v>75</v>
      </c>
      <c r="H35" s="101">
        <f>((JCI_obj*0.7/6)/(jci_magnif))^2</f>
        <v>0.58701517289175986</v>
      </c>
      <c r="I35" s="98"/>
      <c r="J35" s="102" t="s">
        <v>75</v>
      </c>
      <c r="K35" s="103">
        <f>((Celst_obj*0.7/6)/(celst_magnif))^2</f>
        <v>0.21777777777777774</v>
      </c>
      <c r="L35" s="60"/>
    </row>
    <row r="36" spans="1:14" x14ac:dyDescent="0.3">
      <c r="A36" s="17" t="s">
        <v>38</v>
      </c>
      <c r="B36" s="26">
        <f>206265*1.22*(0.00000056)/(OL_Ap/1000)</f>
        <v>28.906717538461539</v>
      </c>
      <c r="C36" s="19" t="s">
        <v>20</v>
      </c>
      <c r="D36" s="18"/>
      <c r="E36" s="18"/>
      <c r="F36" s="104"/>
      <c r="G36" s="18" t="s">
        <v>76</v>
      </c>
      <c r="H36" s="81">
        <f>JCI_obj/jci_magnif</f>
        <v>6.567164179104477</v>
      </c>
      <c r="I36" s="18" t="s">
        <v>16</v>
      </c>
      <c r="J36" s="17" t="s">
        <v>76</v>
      </c>
      <c r="K36" s="18">
        <f>Celst_obj/celst_magnif</f>
        <v>4</v>
      </c>
      <c r="L36" s="19" t="s">
        <v>16</v>
      </c>
      <c r="M36" s="105"/>
    </row>
    <row r="37" spans="1:14" x14ac:dyDescent="0.3">
      <c r="A37" s="65" t="s">
        <v>25</v>
      </c>
      <c r="B37" s="63" t="s">
        <v>63</v>
      </c>
      <c r="C37" s="66"/>
      <c r="D37" s="18"/>
      <c r="E37" s="18"/>
      <c r="F37" s="104"/>
      <c r="G37" s="41" t="s">
        <v>78</v>
      </c>
      <c r="H37" s="80">
        <f>(OL_Ap/H36)^2</f>
        <v>0.55105315405475219</v>
      </c>
      <c r="I37" s="80"/>
      <c r="J37" s="106" t="s">
        <v>78</v>
      </c>
      <c r="K37" s="81">
        <f>IF((OL_Ap/K36)^2&gt;1,1,(OL_Ap/K36)^2)</f>
        <v>1</v>
      </c>
      <c r="L37" s="19"/>
      <c r="M37" s="105"/>
    </row>
    <row r="38" spans="1:14" x14ac:dyDescent="0.3">
      <c r="A38" s="27" t="s">
        <v>28</v>
      </c>
      <c r="B38" s="18" t="s">
        <v>63</v>
      </c>
      <c r="C38" s="66" t="s">
        <v>16</v>
      </c>
      <c r="D38" s="18"/>
      <c r="E38" s="18"/>
      <c r="F38" s="104"/>
      <c r="G38" s="41" t="s">
        <v>77</v>
      </c>
      <c r="H38" s="6">
        <f>H35*(OL_Ap/H36)^2</f>
        <v>0.32347656249999995</v>
      </c>
      <c r="J38" s="31" t="s">
        <v>77</v>
      </c>
      <c r="K38" s="18">
        <f>K35*K37</f>
        <v>0.21777777777777774</v>
      </c>
      <c r="L38" s="19"/>
    </row>
    <row r="39" spans="1:14" x14ac:dyDescent="0.3">
      <c r="A39" s="17" t="s">
        <v>15</v>
      </c>
      <c r="B39" s="76">
        <v>23.4</v>
      </c>
      <c r="C39" s="104" t="s">
        <v>16</v>
      </c>
      <c r="D39" s="18" t="s">
        <v>26</v>
      </c>
      <c r="E39" s="18">
        <f>OL_Ap*OL_EFR</f>
        <v>23.4</v>
      </c>
      <c r="F39" s="19" t="s">
        <v>16</v>
      </c>
      <c r="G39" s="18" t="s">
        <v>26</v>
      </c>
      <c r="H39" s="18">
        <f>OL_FL*jci_magnif</f>
        <v>235.17000000000002</v>
      </c>
      <c r="I39" s="18" t="s">
        <v>16</v>
      </c>
      <c r="J39" s="17" t="s">
        <v>26</v>
      </c>
      <c r="K39" s="18">
        <f>OL_FL*celst_magnif</f>
        <v>1170</v>
      </c>
      <c r="L39" s="19" t="s">
        <v>16</v>
      </c>
      <c r="M39" s="41" t="s">
        <v>79</v>
      </c>
    </row>
    <row r="40" spans="1:14" x14ac:dyDescent="0.3">
      <c r="A40" s="17" t="s">
        <v>18</v>
      </c>
      <c r="B40" s="76">
        <v>4.8</v>
      </c>
      <c r="C40" s="104"/>
      <c r="D40" s="18" t="s">
        <v>29</v>
      </c>
      <c r="E40" s="18">
        <f>OL_FR</f>
        <v>4.8</v>
      </c>
      <c r="F40" s="19"/>
      <c r="G40" s="18" t="s">
        <v>29</v>
      </c>
      <c r="H40" s="101">
        <f>OL_FR/SQRT(H35)</f>
        <v>6.2649350649350657</v>
      </c>
      <c r="I40" s="18"/>
      <c r="J40" s="17" t="s">
        <v>29</v>
      </c>
      <c r="K40" s="101">
        <f>OL_FR/SQRT(K35)</f>
        <v>10.285714285714286</v>
      </c>
      <c r="L40" s="19"/>
      <c r="M40" s="6">
        <f>OLC_EFL/OLC_EFR</f>
        <v>113.74999999999999</v>
      </c>
      <c r="N40" s="6" t="s">
        <v>16</v>
      </c>
    </row>
    <row r="41" spans="1:14" x14ac:dyDescent="0.3">
      <c r="A41" s="14" t="s">
        <v>68</v>
      </c>
      <c r="B41" s="107">
        <v>3.3000000000000002E-2</v>
      </c>
      <c r="C41" s="16" t="s">
        <v>9</v>
      </c>
      <c r="D41" s="18" t="s">
        <v>31</v>
      </c>
      <c r="E41" s="72">
        <f>1/(2*OL_EFL*TAN((PI()/(180*60))/2))</f>
        <v>146.91225412582287</v>
      </c>
      <c r="F41" s="19" t="s">
        <v>35</v>
      </c>
      <c r="G41" s="18" t="s">
        <v>31</v>
      </c>
      <c r="H41" s="72">
        <f>1/(2*OLJ_EFL*TAN((PI()/(180*60))/2))</f>
        <v>14.618134738887848</v>
      </c>
      <c r="I41" s="18" t="s">
        <v>35</v>
      </c>
      <c r="J41" s="17" t="s">
        <v>31</v>
      </c>
      <c r="K41" s="72">
        <f>1/(2*OLC_EFL*TAN((PI()/(180*60))/2))</f>
        <v>2.9382450825164579</v>
      </c>
      <c r="L41" s="19" t="s">
        <v>35</v>
      </c>
      <c r="M41" s="41"/>
    </row>
    <row r="42" spans="1:14" x14ac:dyDescent="0.3">
      <c r="A42" s="14" t="s">
        <v>0</v>
      </c>
      <c r="B42" s="107">
        <v>400</v>
      </c>
      <c r="C42" s="16" t="s">
        <v>10</v>
      </c>
      <c r="D42" s="77" t="s">
        <v>34</v>
      </c>
      <c r="E42" s="78">
        <f>sizes(size_rad,OL_EFL)</f>
        <v>0.10890874192007241</v>
      </c>
      <c r="F42" s="19" t="s">
        <v>16</v>
      </c>
      <c r="G42" s="77" t="s">
        <v>34</v>
      </c>
      <c r="H42" s="78">
        <f>sizes(size_rad,OLJ_EFL)</f>
        <v>1.094532856296728</v>
      </c>
      <c r="I42" s="18" t="s">
        <v>16</v>
      </c>
      <c r="J42" s="30" t="s">
        <v>34</v>
      </c>
      <c r="K42" s="78">
        <f>sizes(size_rad,OLC_EFL)</f>
        <v>5.4454370960036211</v>
      </c>
      <c r="L42" s="19" t="s">
        <v>16</v>
      </c>
    </row>
    <row r="43" spans="1:14" x14ac:dyDescent="0.3">
      <c r="A43" s="17"/>
      <c r="B43" s="18"/>
      <c r="C43" s="19"/>
      <c r="D43" s="63" t="s">
        <v>69</v>
      </c>
      <c r="E43" s="81">
        <f>E42/7.18</f>
        <v>1.5168348456834598E-2</v>
      </c>
      <c r="F43" s="66" t="s">
        <v>70</v>
      </c>
      <c r="G43" s="9" t="s">
        <v>69</v>
      </c>
      <c r="H43" s="80">
        <f>H42/7.18</f>
        <v>0.15244190199118776</v>
      </c>
      <c r="I43" s="9" t="s">
        <v>70</v>
      </c>
      <c r="J43" s="65" t="s">
        <v>69</v>
      </c>
      <c r="K43" s="81">
        <f>K42/7.18</f>
        <v>0.75841742284172997</v>
      </c>
      <c r="L43" s="66" t="s">
        <v>70</v>
      </c>
    </row>
    <row r="44" spans="1:14" ht="12" customHeight="1" x14ac:dyDescent="0.3">
      <c r="A44" s="17" t="s">
        <v>83</v>
      </c>
      <c r="B44" s="18"/>
      <c r="C44" s="19"/>
      <c r="D44" s="18" t="s">
        <v>37</v>
      </c>
      <c r="E44" s="72">
        <f>2*ATAN((5.32/2)/OL_EFL)*180/PI()</f>
        <v>12.970542497846255</v>
      </c>
      <c r="F44" s="33" t="s">
        <v>7</v>
      </c>
      <c r="G44" s="18" t="s">
        <v>37</v>
      </c>
      <c r="H44" s="72">
        <f>2*ATAN((5.32/2)/OLJ_EFL)*180/PI()</f>
        <v>1.2960860183377503</v>
      </c>
      <c r="I44" s="108" t="s">
        <v>7</v>
      </c>
      <c r="J44" s="17" t="s">
        <v>37</v>
      </c>
      <c r="K44" s="72">
        <f>2*ATAN((5.32/2)/OLC_EFL)*180*60/PI()</f>
        <v>15.631437017210418</v>
      </c>
      <c r="L44" s="33" t="s">
        <v>8</v>
      </c>
      <c r="N44" s="6">
        <v>27.95</v>
      </c>
    </row>
    <row r="45" spans="1:14" x14ac:dyDescent="0.3">
      <c r="A45" s="17" t="s">
        <v>84</v>
      </c>
      <c r="B45" s="18"/>
      <c r="C45" s="104"/>
      <c r="D45" s="18"/>
      <c r="E45" s="72">
        <f>2*ATAN((7.18/2)/OL_EFL)*180/PI()</f>
        <v>17.444482975210377</v>
      </c>
      <c r="F45" s="109" t="s">
        <v>7</v>
      </c>
      <c r="G45" s="110"/>
      <c r="H45" s="72">
        <f>2*ATAN((7.18/2)/OLJ_EFL)*180/PI()</f>
        <v>1.749167604218389</v>
      </c>
      <c r="I45" s="111" t="s">
        <v>7</v>
      </c>
      <c r="J45" s="112"/>
      <c r="K45" s="72">
        <f>2*ATAN((7.18/2)/OLC_EFL)*180*60/PI()</f>
        <v>21.096533633919055</v>
      </c>
      <c r="L45" s="46" t="s">
        <v>8</v>
      </c>
    </row>
    <row r="46" spans="1:14" x14ac:dyDescent="0.3">
      <c r="A46" s="17"/>
      <c r="B46" s="18"/>
      <c r="C46" s="104"/>
      <c r="D46" s="41" t="s">
        <v>38</v>
      </c>
      <c r="E46" s="86">
        <f>E35/206265*OL_EFL</f>
        <v>3.2793600000000003E-3</v>
      </c>
      <c r="F46" s="19" t="s">
        <v>16</v>
      </c>
      <c r="G46" s="41" t="s">
        <v>38</v>
      </c>
      <c r="H46" s="113">
        <f>1.22*(0.00000056)*OL_EFR*1000</f>
        <v>3.2793600000000007E-3</v>
      </c>
      <c r="I46" s="18" t="s">
        <v>16</v>
      </c>
      <c r="J46" s="31" t="s">
        <v>38</v>
      </c>
      <c r="K46" s="113">
        <f>1.22*(0.00000056)*OL_EFR*1000</f>
        <v>3.2793600000000007E-3</v>
      </c>
      <c r="L46" s="19" t="s">
        <v>16</v>
      </c>
      <c r="M46" s="41" t="s">
        <v>85</v>
      </c>
    </row>
    <row r="47" spans="1:14" x14ac:dyDescent="0.3">
      <c r="A47" s="17"/>
      <c r="B47" s="18"/>
      <c r="C47" s="104"/>
      <c r="D47" s="77" t="s">
        <v>13</v>
      </c>
      <c r="E47" s="89">
        <f>fx(duration,ISO,OL_EFR,txmsn)</f>
        <v>17.196397212803504</v>
      </c>
      <c r="F47" s="91"/>
      <c r="G47" s="77" t="s">
        <v>13</v>
      </c>
      <c r="H47" s="89">
        <f>fx(duration,ISO,OLJ_EFR/SQRT(H37),txmsn)</f>
        <v>15.568130303426171</v>
      </c>
      <c r="I47" s="89"/>
      <c r="J47" s="30" t="s">
        <v>13</v>
      </c>
      <c r="K47" s="89">
        <f>fx(duration,ISO,OLC_EFR/SQRT(K37),txmsn)</f>
        <v>14.997325865701676</v>
      </c>
      <c r="L47" s="91"/>
      <c r="M47" s="105" t="s">
        <v>82</v>
      </c>
    </row>
    <row r="48" spans="1:14" x14ac:dyDescent="0.3">
      <c r="A48" s="17"/>
      <c r="B48" s="18"/>
      <c r="C48" s="104"/>
      <c r="D48" s="77" t="s">
        <v>40</v>
      </c>
      <c r="E48" s="89">
        <f>mag(duration,ISO,OL_Ap,txmsn)</f>
        <v>-7.0129392956843519</v>
      </c>
      <c r="F48" s="91"/>
      <c r="G48" s="77" t="s">
        <v>40</v>
      </c>
      <c r="H48" s="89">
        <f>mag(duration,ISO,JCI_obj*SQRT(H37),txmsn)</f>
        <v>-2.0192539012470032</v>
      </c>
      <c r="I48" s="89"/>
      <c r="J48" s="30" t="s">
        <v>40</v>
      </c>
      <c r="K48" s="89">
        <f>mag(duration,ISO,Celst_obj*SQRT(K37),txmsn)</f>
        <v>1.0247416606843607</v>
      </c>
      <c r="L48" s="91"/>
      <c r="M48" s="105" t="s">
        <v>82</v>
      </c>
    </row>
    <row r="49" spans="1:12" x14ac:dyDescent="0.3">
      <c r="A49" s="17"/>
      <c r="B49" s="18"/>
      <c r="C49" s="19"/>
      <c r="D49" s="18" t="s">
        <v>72</v>
      </c>
      <c r="E49" s="81">
        <f>0.0045*E41*60</f>
        <v>39.66630861397217</v>
      </c>
      <c r="F49" s="19" t="s">
        <v>73</v>
      </c>
      <c r="G49" s="18" t="s">
        <v>72</v>
      </c>
      <c r="H49" s="80">
        <f>0.0045*H41*60</f>
        <v>3.9468963794997189</v>
      </c>
      <c r="I49" s="18" t="s">
        <v>73</v>
      </c>
      <c r="J49" s="17" t="s">
        <v>72</v>
      </c>
      <c r="K49" s="101">
        <f>0.0045*K41*60</f>
        <v>0.79332617227944358</v>
      </c>
      <c r="L49" s="19" t="s">
        <v>73</v>
      </c>
    </row>
    <row r="50" spans="1:12" ht="13.5" thickBot="1" x14ac:dyDescent="0.35">
      <c r="A50" s="95"/>
      <c r="B50" s="96"/>
      <c r="C50" s="97"/>
      <c r="D50" s="96" t="s">
        <v>74</v>
      </c>
      <c r="E50" s="96"/>
      <c r="F50" s="97"/>
      <c r="G50" s="96" t="s">
        <v>74</v>
      </c>
      <c r="H50" s="96"/>
      <c r="I50" s="96"/>
      <c r="J50" s="95" t="s">
        <v>74</v>
      </c>
      <c r="K50" s="96"/>
      <c r="L50" s="97"/>
    </row>
    <row r="51" spans="1:12" ht="13.5" thickBot="1" x14ac:dyDescent="0.35">
      <c r="A51" s="128" t="s">
        <v>86</v>
      </c>
      <c r="B51" s="129"/>
      <c r="C51" s="130"/>
      <c r="D51" s="122" t="s">
        <v>88</v>
      </c>
      <c r="E51" s="122"/>
      <c r="F51" s="122"/>
      <c r="G51" s="122"/>
      <c r="H51" s="122"/>
      <c r="I51" s="122"/>
      <c r="J51" s="122"/>
      <c r="K51" s="122"/>
      <c r="L51" s="123"/>
    </row>
    <row r="52" spans="1:12" x14ac:dyDescent="0.3">
      <c r="A52" s="17" t="s">
        <v>27</v>
      </c>
      <c r="B52" s="18">
        <f>CCD_lens_FL/CCD_lens_FR</f>
        <v>54</v>
      </c>
      <c r="C52" s="19" t="s">
        <v>16</v>
      </c>
      <c r="D52" s="102" t="s">
        <v>26</v>
      </c>
      <c r="E52" s="98">
        <f>CCD_LENS_AP*CCD_LENS_EFR</f>
        <v>135</v>
      </c>
      <c r="F52" s="60" t="s">
        <v>16</v>
      </c>
      <c r="G52" s="114" t="s">
        <v>26</v>
      </c>
      <c r="H52" s="115">
        <f>H53*JCI_obj</f>
        <v>402</v>
      </c>
      <c r="I52" s="116" t="s">
        <v>16</v>
      </c>
      <c r="J52" s="114" t="s">
        <v>26</v>
      </c>
      <c r="K52" s="115">
        <f>K23*Celst_obj</f>
        <v>5500</v>
      </c>
      <c r="L52" s="116" t="s">
        <v>16</v>
      </c>
    </row>
    <row r="53" spans="1:12" x14ac:dyDescent="0.3">
      <c r="A53" s="17" t="s">
        <v>38</v>
      </c>
      <c r="B53" s="63">
        <f>206265*1.22*(0.00000056)/(CCD_LENS_AP/1000)</f>
        <v>2.6096342222222222</v>
      </c>
      <c r="C53" s="19" t="s">
        <v>20</v>
      </c>
      <c r="D53" s="17" t="s">
        <v>29</v>
      </c>
      <c r="E53" s="18">
        <f>CCD_LENS_TEL*CCD_lens_FR</f>
        <v>2.5</v>
      </c>
      <c r="F53" s="19"/>
      <c r="G53" s="37" t="s">
        <v>29</v>
      </c>
      <c r="H53" s="67">
        <f>IF(JCI_Prime="y",1,JCI_proj/JCI_oc-1)*H13/JCI_obj</f>
        <v>6.0909090909090908</v>
      </c>
      <c r="I53" s="68"/>
      <c r="J53" s="37" t="s">
        <v>29</v>
      </c>
      <c r="K53" s="67">
        <f>IF(Prime="y",1,Celst_proj/Celst_oc-1)*K13/Celst_obj</f>
        <v>27.5</v>
      </c>
      <c r="L53" s="68"/>
    </row>
    <row r="54" spans="1:12" x14ac:dyDescent="0.3">
      <c r="A54" s="65" t="s">
        <v>25</v>
      </c>
      <c r="B54" s="63" t="s">
        <v>63</v>
      </c>
      <c r="C54" s="66"/>
      <c r="D54" s="17" t="s">
        <v>31</v>
      </c>
      <c r="E54" s="72">
        <f>1/(2*CCD_LENS_EFL*TAN((PI()/(180*60))/2))</f>
        <v>25.46479071514263</v>
      </c>
      <c r="F54" s="19" t="s">
        <v>35</v>
      </c>
      <c r="G54" s="73" t="s">
        <v>31</v>
      </c>
      <c r="H54" s="74">
        <f>1/(2*JCI_EFL*TAN((PI()/(180*3600))/2))</f>
        <v>513.09653295197108</v>
      </c>
      <c r="I54" s="68" t="s">
        <v>32</v>
      </c>
      <c r="J54" s="73" t="s">
        <v>31</v>
      </c>
      <c r="K54" s="74">
        <f>1/(2*Celst_EFL*TAN((PI()/(180*3600))/2))</f>
        <v>37.502692044853156</v>
      </c>
      <c r="L54" s="68" t="s">
        <v>32</v>
      </c>
    </row>
    <row r="55" spans="1:12" x14ac:dyDescent="0.3">
      <c r="A55" s="27" t="s">
        <v>28</v>
      </c>
      <c r="B55" s="18" t="s">
        <v>63</v>
      </c>
      <c r="C55" s="66" t="s">
        <v>16</v>
      </c>
      <c r="D55" s="30" t="s">
        <v>34</v>
      </c>
      <c r="E55" s="78">
        <f>sizes(size_rad,CCD_LENS_EFL)</f>
        <v>0.62831966492349478</v>
      </c>
      <c r="F55" s="19" t="s">
        <v>16</v>
      </c>
      <c r="G55" s="79" t="s">
        <v>34</v>
      </c>
      <c r="H55" s="78">
        <f>sizes(size_rad,JCI_EFL)</f>
        <v>1.8709963355499621</v>
      </c>
      <c r="I55" s="68" t="s">
        <v>16</v>
      </c>
      <c r="J55" s="79" t="s">
        <v>34</v>
      </c>
      <c r="K55" s="78">
        <f>sizes(size_rad,Celst_EFL)</f>
        <v>25.598208570957194</v>
      </c>
      <c r="L55" s="68" t="s">
        <v>16</v>
      </c>
    </row>
    <row r="56" spans="1:12" x14ac:dyDescent="0.3">
      <c r="A56" s="17" t="s">
        <v>23</v>
      </c>
      <c r="B56" s="76">
        <v>1</v>
      </c>
      <c r="C56" s="19" t="s">
        <v>24</v>
      </c>
      <c r="D56" s="65" t="s">
        <v>69</v>
      </c>
      <c r="E56" s="81">
        <f>E55/(11.8)</f>
        <v>5.3247429230804638E-2</v>
      </c>
      <c r="F56" s="66" t="s">
        <v>70</v>
      </c>
      <c r="G56" s="65" t="s">
        <v>69</v>
      </c>
      <c r="H56" s="81">
        <f>H55/(11.8)</f>
        <v>0.15855901148728491</v>
      </c>
      <c r="I56" s="66" t="s">
        <v>70</v>
      </c>
      <c r="J56" s="65" t="s">
        <v>69</v>
      </c>
      <c r="K56" s="81">
        <f>K55/(11.8)</f>
        <v>2.1693397094031521</v>
      </c>
      <c r="L56" s="66" t="s">
        <v>70</v>
      </c>
    </row>
    <row r="57" spans="1:12" x14ac:dyDescent="0.3">
      <c r="A57" s="17" t="s">
        <v>15</v>
      </c>
      <c r="B57" s="76">
        <v>135</v>
      </c>
      <c r="C57" s="19" t="s">
        <v>16</v>
      </c>
      <c r="D57" s="17" t="s">
        <v>37</v>
      </c>
      <c r="E57" s="72">
        <f>2*ATAN((8.9/2)/CCD_LENS_EFL)*180/PI()</f>
        <v>3.7759101316398844</v>
      </c>
      <c r="F57" s="117" t="s">
        <v>7</v>
      </c>
      <c r="G57" s="83" t="s">
        <v>37</v>
      </c>
      <c r="H57" s="67">
        <f>2*ATAN((8.9/2)/JCI_EFL)*180/PI()*60</f>
        <v>76.106210542544943</v>
      </c>
      <c r="I57" s="33" t="s">
        <v>8</v>
      </c>
      <c r="J57" s="83" t="s">
        <v>37</v>
      </c>
      <c r="K57" s="67">
        <f>2*ATAN((8.9/2)/Celst_EFL)*180/PI()*60</f>
        <v>5.5628981061211897</v>
      </c>
      <c r="L57" s="33" t="s">
        <v>8</v>
      </c>
    </row>
    <row r="58" spans="1:12" x14ac:dyDescent="0.3">
      <c r="A58" s="17" t="s">
        <v>18</v>
      </c>
      <c r="B58" s="76">
        <v>2.5</v>
      </c>
      <c r="C58" s="19"/>
      <c r="D58" s="17"/>
      <c r="E58" s="72">
        <f>2*ATAN((11.8/2)/CCD_LENS_EFL)*180/PI()</f>
        <v>5.0048906940303022</v>
      </c>
      <c r="F58" s="19" t="s">
        <v>7</v>
      </c>
      <c r="G58" s="31"/>
      <c r="H58" s="67">
        <f>2*ATAN((11.8/2)/JCI_EFL)*180/PI()*60</f>
        <v>100.90174038149928</v>
      </c>
      <c r="I58" s="46" t="s">
        <v>8</v>
      </c>
      <c r="J58" s="31"/>
      <c r="K58" s="67">
        <f>2*ATAN((11.8/2)/Celst_EFL)*180/PI()*60</f>
        <v>7.3755266063892595</v>
      </c>
      <c r="L58" s="46" t="s">
        <v>8</v>
      </c>
    </row>
    <row r="59" spans="1:12" x14ac:dyDescent="0.3">
      <c r="A59" s="84" t="s">
        <v>68</v>
      </c>
      <c r="B59" s="76">
        <v>7200</v>
      </c>
      <c r="C59" s="19" t="s">
        <v>9</v>
      </c>
      <c r="D59" s="30" t="s">
        <v>13</v>
      </c>
      <c r="E59" s="89">
        <f>fx(CCD_exp,CCD_ISO,CCD_LENS_EFR,txmsn)</f>
        <v>42.042599881712917</v>
      </c>
      <c r="F59" s="91"/>
      <c r="G59" s="90" t="s">
        <v>13</v>
      </c>
      <c r="H59" s="89">
        <f>fx(CCD_exp,CCD_ISO,H53,txmsn)</f>
        <v>39.473140927846693</v>
      </c>
      <c r="I59" s="91"/>
      <c r="J59" s="90" t="s">
        <v>13</v>
      </c>
      <c r="K59" s="89">
        <f>fx(CCD_exp,CCD_ISO,K53,txmsn)</f>
        <v>35.123736644438324</v>
      </c>
      <c r="L59" s="91"/>
    </row>
    <row r="60" spans="1:12" x14ac:dyDescent="0.3">
      <c r="A60" s="31" t="s">
        <v>87</v>
      </c>
      <c r="B60" s="85">
        <v>15000</v>
      </c>
      <c r="C60" s="19" t="s">
        <v>10</v>
      </c>
      <c r="D60" s="30" t="s">
        <v>40</v>
      </c>
      <c r="E60" s="89">
        <f>mag(CCD_exp,CCD_ISO,CCD_LENS_AP,txmsn)</f>
        <v>15.414281164529891</v>
      </c>
      <c r="F60" s="91"/>
      <c r="G60" s="93" t="s">
        <v>40</v>
      </c>
      <c r="H60" s="89">
        <f>mag(CCD_exp,CCD_ISO,H5,txmsn)</f>
        <v>15.848541090322369</v>
      </c>
      <c r="I60" s="91"/>
      <c r="J60" s="93" t="s">
        <v>40</v>
      </c>
      <c r="K60" s="89">
        <f>mag(CCD_exp,CCD_ISO,K5,txmsn)</f>
        <v>18.247734195946776</v>
      </c>
      <c r="L60" s="91"/>
    </row>
    <row r="61" spans="1:12" x14ac:dyDescent="0.3">
      <c r="A61" s="84"/>
      <c r="B61" s="87"/>
      <c r="C61" s="88"/>
      <c r="D61" s="17" t="s">
        <v>19</v>
      </c>
      <c r="E61" s="45">
        <f>206265*1.22*(0.00000056)/(Ric_ap/1000)</f>
        <v>2.6096342222222222</v>
      </c>
      <c r="F61" s="19" t="s">
        <v>20</v>
      </c>
      <c r="G61" s="17" t="s">
        <v>19</v>
      </c>
      <c r="H61" s="45">
        <f>206265*1.22*(0.00000056)/(JCI_obj/1000)</f>
        <v>2.1351552727272725</v>
      </c>
      <c r="I61" s="19" t="s">
        <v>20</v>
      </c>
      <c r="J61" s="17" t="s">
        <v>19</v>
      </c>
      <c r="K61" s="45">
        <f>206265*1.22*(0.00000056)/(Celst_obj/1000)</f>
        <v>0.70460123999999991</v>
      </c>
      <c r="L61" s="19" t="s">
        <v>20</v>
      </c>
    </row>
    <row r="62" spans="1:12" x14ac:dyDescent="0.3">
      <c r="A62" s="84"/>
      <c r="B62" s="92"/>
      <c r="C62" s="66"/>
      <c r="D62" s="17" t="s">
        <v>72</v>
      </c>
      <c r="E62" s="63">
        <f>0.0074*E54*60</f>
        <v>11.306367077523328</v>
      </c>
      <c r="F62" s="19" t="s">
        <v>20</v>
      </c>
      <c r="G62" s="17" t="s">
        <v>72</v>
      </c>
      <c r="H62" s="63">
        <f>0.0074*H54</f>
        <v>3.7969143438445863</v>
      </c>
      <c r="I62" s="19" t="s">
        <v>20</v>
      </c>
      <c r="J62" s="17" t="s">
        <v>72</v>
      </c>
      <c r="K62" s="81">
        <f>0.0074*K54</f>
        <v>0.27751992113191337</v>
      </c>
      <c r="L62" s="19" t="s">
        <v>20</v>
      </c>
    </row>
    <row r="63" spans="1:12" ht="13.5" thickBot="1" x14ac:dyDescent="0.35">
      <c r="A63" s="118"/>
      <c r="B63" s="119"/>
      <c r="C63" s="120"/>
      <c r="D63" s="95" t="s">
        <v>74</v>
      </c>
      <c r="E63" s="96"/>
      <c r="F63" s="121"/>
      <c r="G63" s="95" t="s">
        <v>74</v>
      </c>
      <c r="H63" s="96"/>
      <c r="I63" s="97"/>
      <c r="J63" s="95" t="s">
        <v>74</v>
      </c>
      <c r="K63" s="96"/>
      <c r="L63" s="97"/>
    </row>
    <row r="64" spans="1:12" ht="13.5" thickBot="1" x14ac:dyDescent="0.35">
      <c r="A64" s="125" t="s">
        <v>105</v>
      </c>
      <c r="B64" s="125"/>
      <c r="C64" s="125"/>
      <c r="D64" s="127" t="s">
        <v>108</v>
      </c>
      <c r="E64" s="122"/>
      <c r="F64" s="122"/>
      <c r="G64" s="122"/>
      <c r="H64" s="122"/>
      <c r="I64" s="122"/>
      <c r="J64" s="122"/>
      <c r="K64" s="122"/>
      <c r="L64" s="123"/>
    </row>
    <row r="65" spans="1:14" x14ac:dyDescent="0.3">
      <c r="A65" s="17" t="s">
        <v>27</v>
      </c>
      <c r="B65" s="18">
        <f>CCD_lens_FL/CCD_lens_FR</f>
        <v>54</v>
      </c>
      <c r="C65" s="19" t="s">
        <v>16</v>
      </c>
      <c r="D65" s="102" t="s">
        <v>26</v>
      </c>
      <c r="E65" s="98">
        <f>CCD_LENS_AP*CCD_LENS_EFR</f>
        <v>135</v>
      </c>
      <c r="F65" s="60" t="s">
        <v>16</v>
      </c>
      <c r="G65" s="114" t="s">
        <v>26</v>
      </c>
      <c r="H65" s="115">
        <f>H66*JCI_obj</f>
        <v>402</v>
      </c>
      <c r="I65" s="116" t="s">
        <v>16</v>
      </c>
      <c r="J65" s="114" t="s">
        <v>26</v>
      </c>
      <c r="K65" s="115">
        <f>K66*Celst_obj</f>
        <v>5500</v>
      </c>
      <c r="L65" s="116" t="s">
        <v>16</v>
      </c>
    </row>
    <row r="66" spans="1:14" x14ac:dyDescent="0.3">
      <c r="A66" s="17" t="s">
        <v>38</v>
      </c>
      <c r="B66" s="63">
        <f>206265*1.22*(0.00000056)/(CCD_LENS_AP/1000)</f>
        <v>2.6096342222222222</v>
      </c>
      <c r="C66" s="19" t="s">
        <v>20</v>
      </c>
      <c r="D66" s="17" t="s">
        <v>29</v>
      </c>
      <c r="E66" s="18">
        <f>CCD_LENS_TEL*CCD_lens_FR</f>
        <v>2.5</v>
      </c>
      <c r="F66" s="19"/>
      <c r="G66" s="37" t="s">
        <v>29</v>
      </c>
      <c r="H66" s="67">
        <f>IF(JCI_Prime="y",1,JCI_proj/JCI_oc-1)*H13/JCI_obj</f>
        <v>6.0909090909090908</v>
      </c>
      <c r="I66" s="68"/>
      <c r="J66" s="37" t="s">
        <v>29</v>
      </c>
      <c r="K66" s="67">
        <f>IF(Prime="y",1,Celst_proj/Celst_oc-1)*K13/Celst_obj</f>
        <v>27.5</v>
      </c>
      <c r="L66" s="68"/>
    </row>
    <row r="67" spans="1:14" x14ac:dyDescent="0.3">
      <c r="A67" s="65" t="s">
        <v>25</v>
      </c>
      <c r="B67" s="63" t="s">
        <v>63</v>
      </c>
      <c r="C67" s="66"/>
      <c r="D67" s="17" t="s">
        <v>31</v>
      </c>
      <c r="E67" s="72">
        <f>1/(2*CCD_LENS_EFL*TAN((PI()/(180*60))/2))</f>
        <v>25.46479071514263</v>
      </c>
      <c r="F67" s="19" t="s">
        <v>35</v>
      </c>
      <c r="G67" s="73" t="s">
        <v>31</v>
      </c>
      <c r="H67" s="74">
        <f>1/(2*JCI_EFL*TAN((PI()/(180*3600))/2))</f>
        <v>513.09653295197108</v>
      </c>
      <c r="I67" s="68" t="s">
        <v>32</v>
      </c>
      <c r="J67" s="73" t="s">
        <v>31</v>
      </c>
      <c r="K67" s="74">
        <f>1/(2*Celst_EFL*TAN((PI()/(180*3600))/2))</f>
        <v>37.502692044853156</v>
      </c>
      <c r="L67" s="68" t="s">
        <v>32</v>
      </c>
    </row>
    <row r="68" spans="1:14" x14ac:dyDescent="0.3">
      <c r="A68" s="27" t="s">
        <v>28</v>
      </c>
      <c r="B68" s="18" t="s">
        <v>63</v>
      </c>
      <c r="C68" s="66" t="s">
        <v>16</v>
      </c>
      <c r="D68" s="30" t="s">
        <v>34</v>
      </c>
      <c r="E68" s="78">
        <f>sizes(size_rad,CCD_LENS_EFL)</f>
        <v>0.62831966492349478</v>
      </c>
      <c r="F68" s="19" t="s">
        <v>16</v>
      </c>
      <c r="G68" s="79" t="s">
        <v>34</v>
      </c>
      <c r="H68" s="78">
        <f>sizes(size_rad,JCI_EFL)</f>
        <v>1.8709963355499621</v>
      </c>
      <c r="I68" s="68" t="s">
        <v>16</v>
      </c>
      <c r="J68" s="79" t="s">
        <v>34</v>
      </c>
      <c r="K68" s="78">
        <f>sizes(size_rad,Celst_EFL)</f>
        <v>25.598208570957194</v>
      </c>
      <c r="L68" s="68" t="s">
        <v>16</v>
      </c>
    </row>
    <row r="69" spans="1:14" x14ac:dyDescent="0.3">
      <c r="A69" s="17" t="s">
        <v>23</v>
      </c>
      <c r="B69" s="76">
        <v>3</v>
      </c>
      <c r="C69" s="19" t="s">
        <v>24</v>
      </c>
      <c r="D69" s="65" t="s">
        <v>69</v>
      </c>
      <c r="E69" s="81">
        <f>E68/(11.8)</f>
        <v>5.3247429230804638E-2</v>
      </c>
      <c r="F69" s="66" t="s">
        <v>70</v>
      </c>
      <c r="G69" s="65" t="s">
        <v>69</v>
      </c>
      <c r="H69" s="81">
        <f>H68/(11.8)</f>
        <v>0.15855901148728491</v>
      </c>
      <c r="I69" s="66" t="s">
        <v>70</v>
      </c>
      <c r="J69" s="65" t="s">
        <v>69</v>
      </c>
      <c r="K69" s="81">
        <f>K68/(11.8)</f>
        <v>2.1693397094031521</v>
      </c>
      <c r="L69" s="66" t="s">
        <v>70</v>
      </c>
    </row>
    <row r="70" spans="1:14" x14ac:dyDescent="0.3">
      <c r="A70" s="17" t="s">
        <v>15</v>
      </c>
      <c r="B70" s="76">
        <v>135</v>
      </c>
      <c r="C70" s="19" t="s">
        <v>16</v>
      </c>
      <c r="D70" s="17" t="s">
        <v>37</v>
      </c>
      <c r="E70" s="72">
        <f>2*ATAN((8.9/2)/CCD_LENS_EFL)*180/PI()</f>
        <v>3.7759101316398844</v>
      </c>
      <c r="F70" s="117" t="s">
        <v>7</v>
      </c>
      <c r="G70" s="83" t="s">
        <v>37</v>
      </c>
      <c r="H70" s="67">
        <f>2*ATAN((3.55/2)/JCI_EFL)*180/PI()*60</f>
        <v>30.358014247873768</v>
      </c>
      <c r="I70" s="33" t="s">
        <v>8</v>
      </c>
      <c r="J70" s="83" t="s">
        <v>37</v>
      </c>
      <c r="K70" s="67">
        <f>2*ATAN((3.55/2)/Celst_EFL)*180/PI()*60</f>
        <v>2.2189092022895558</v>
      </c>
      <c r="L70" s="33" t="s">
        <v>8</v>
      </c>
    </row>
    <row r="71" spans="1:14" x14ac:dyDescent="0.3">
      <c r="A71" s="17" t="s">
        <v>18</v>
      </c>
      <c r="B71" s="76">
        <v>2.5</v>
      </c>
      <c r="C71" s="19"/>
      <c r="D71" s="17"/>
      <c r="E71" s="72">
        <f>2*ATAN((11.8/2)/CCD_LENS_EFL)*180/PI()</f>
        <v>5.0048906940303022</v>
      </c>
      <c r="F71" s="19" t="s">
        <v>7</v>
      </c>
      <c r="G71" s="31"/>
      <c r="H71" s="67">
        <f>2*ATAN((4.73/2)/JCI_EFL)*180/PI()*60</f>
        <v>40.448643367026662</v>
      </c>
      <c r="I71" s="46" t="s">
        <v>8</v>
      </c>
      <c r="J71" s="31"/>
      <c r="K71" s="67">
        <f>2*ATAN((4.73/2)/Celst_EFL)*180/PI()*60</f>
        <v>2.9564620406584465</v>
      </c>
      <c r="L71" s="46" t="s">
        <v>8</v>
      </c>
    </row>
    <row r="72" spans="1:14" x14ac:dyDescent="0.3">
      <c r="A72" s="84" t="s">
        <v>68</v>
      </c>
      <c r="B72" s="76">
        <v>300</v>
      </c>
      <c r="C72" s="19" t="s">
        <v>9</v>
      </c>
      <c r="D72" s="30" t="s">
        <v>13</v>
      </c>
      <c r="E72" s="89">
        <f>fx(CCD_exp,CCD_ISO,CCD_LENS_EFR,txmsn)</f>
        <v>42.042599881712917</v>
      </c>
      <c r="F72" s="91"/>
      <c r="G72" s="90" t="s">
        <v>13</v>
      </c>
      <c r="H72" s="89">
        <f>fx(CCD_exp,CCD_ISO,H66,txmsn)</f>
        <v>39.473140927846693</v>
      </c>
      <c r="I72" s="91"/>
      <c r="J72" s="90" t="s">
        <v>13</v>
      </c>
      <c r="K72" s="89">
        <f>fx(CCD_exp,CCD_ISO,K66,txmsn)</f>
        <v>35.123736644438324</v>
      </c>
      <c r="L72" s="91"/>
    </row>
    <row r="73" spans="1:14" x14ac:dyDescent="0.3">
      <c r="A73" s="31" t="s">
        <v>87</v>
      </c>
      <c r="B73" s="85">
        <v>15000</v>
      </c>
      <c r="C73" s="19" t="s">
        <v>10</v>
      </c>
      <c r="D73" s="30" t="s">
        <v>40</v>
      </c>
      <c r="E73" s="89">
        <f>mag(CCD_exp,CCD_ISO,CCD_LENS_AP,txmsn)</f>
        <v>15.414281164529891</v>
      </c>
      <c r="F73" s="91"/>
      <c r="G73" s="93" t="s">
        <v>40</v>
      </c>
      <c r="H73" s="89">
        <f>mag(CCD_exp,CCD_ISO,H18,txmsn)</f>
        <v>8.1739070850281532</v>
      </c>
      <c r="I73" s="91"/>
      <c r="J73" s="93" t="s">
        <v>40</v>
      </c>
      <c r="K73" s="89">
        <f>mag(CCD_exp,CCD_ISO,K18,txmsn)</f>
        <v>12.387398302533999</v>
      </c>
      <c r="L73" s="91"/>
    </row>
    <row r="74" spans="1:14" x14ac:dyDescent="0.3">
      <c r="A74" s="84"/>
      <c r="B74" s="87"/>
      <c r="C74" s="88"/>
      <c r="D74" s="17" t="s">
        <v>19</v>
      </c>
      <c r="E74" s="45">
        <f>206265*1.22*(0.00000056)/(Ric_ap/1000)</f>
        <v>2.6096342222222222</v>
      </c>
      <c r="F74" s="19" t="s">
        <v>20</v>
      </c>
      <c r="G74" s="17" t="s">
        <v>19</v>
      </c>
      <c r="H74" s="45">
        <f>206265*1.22*(0.00000056)/(JCI_obj/1000)</f>
        <v>2.1351552727272725</v>
      </c>
      <c r="I74" s="19" t="s">
        <v>20</v>
      </c>
      <c r="J74" s="17" t="s">
        <v>19</v>
      </c>
      <c r="K74" s="45">
        <f>206265*1.22*(0.00000056)/(Celst_obj/1000)</f>
        <v>0.70460123999999991</v>
      </c>
      <c r="L74" s="19" t="s">
        <v>20</v>
      </c>
    </row>
    <row r="75" spans="1:14" x14ac:dyDescent="0.3">
      <c r="A75" s="84"/>
      <c r="B75" s="92"/>
      <c r="C75" s="66"/>
      <c r="D75" s="17" t="s">
        <v>72</v>
      </c>
      <c r="E75" s="63">
        <f>0.0074*E67*60</f>
        <v>11.306367077523328</v>
      </c>
      <c r="F75" s="19" t="s">
        <v>20</v>
      </c>
      <c r="G75" s="17" t="s">
        <v>72</v>
      </c>
      <c r="H75" s="63">
        <f>0.0074*H67</f>
        <v>3.7969143438445863</v>
      </c>
      <c r="I75" s="19" t="s">
        <v>20</v>
      </c>
      <c r="J75" s="17" t="s">
        <v>72</v>
      </c>
      <c r="K75" s="81">
        <f>0.0074*K67</f>
        <v>0.27751992113191337</v>
      </c>
      <c r="L75" s="19" t="s">
        <v>20</v>
      </c>
    </row>
    <row r="76" spans="1:14" ht="13.5" thickBot="1" x14ac:dyDescent="0.35">
      <c r="A76" s="118"/>
      <c r="B76" s="119"/>
      <c r="C76" s="120"/>
      <c r="D76" s="95" t="s">
        <v>74</v>
      </c>
      <c r="E76" s="96"/>
      <c r="F76" s="121"/>
      <c r="G76" s="95" t="s">
        <v>74</v>
      </c>
      <c r="H76" s="96"/>
      <c r="I76" s="97"/>
      <c r="J76" s="95" t="s">
        <v>74</v>
      </c>
      <c r="K76" s="96"/>
      <c r="L76" s="97"/>
    </row>
    <row r="77" spans="1:14" ht="13.5" thickBot="1" x14ac:dyDescent="0.35">
      <c r="A77" s="125" t="s">
        <v>110</v>
      </c>
      <c r="B77" s="125"/>
      <c r="C77" s="125"/>
      <c r="D77" s="127" t="s">
        <v>110</v>
      </c>
      <c r="E77" s="122"/>
      <c r="F77" s="122"/>
      <c r="G77" s="122"/>
      <c r="H77" s="122"/>
      <c r="I77" s="122"/>
      <c r="J77" s="122"/>
      <c r="K77" s="122"/>
      <c r="L77" s="123"/>
    </row>
    <row r="78" spans="1:14" x14ac:dyDescent="0.3">
      <c r="A78" s="17" t="s">
        <v>27</v>
      </c>
      <c r="B78" s="18">
        <f>CCD_lens_FL/CCD_lens_FR</f>
        <v>54</v>
      </c>
      <c r="C78" s="19" t="s">
        <v>16</v>
      </c>
      <c r="D78" s="102" t="s">
        <v>26</v>
      </c>
      <c r="E78" s="98">
        <f>CCD_LENS_AP*CCD_LENS_EFR</f>
        <v>135</v>
      </c>
      <c r="F78" s="60" t="s">
        <v>16</v>
      </c>
      <c r="G78" s="114" t="s">
        <v>26</v>
      </c>
      <c r="H78" s="115">
        <f>H79*JCI_obj</f>
        <v>5.4707495191519358E-2</v>
      </c>
      <c r="I78" s="116" t="s">
        <v>16</v>
      </c>
      <c r="J78" s="114" t="s">
        <v>26</v>
      </c>
      <c r="K78" s="115">
        <f>K79*Celst_obj</f>
        <v>2.058335484506792</v>
      </c>
      <c r="L78" s="116" t="s">
        <v>16</v>
      </c>
    </row>
    <row r="79" spans="1:14" x14ac:dyDescent="0.3">
      <c r="A79" s="17" t="s">
        <v>38</v>
      </c>
      <c r="B79" s="63">
        <f>206265*1.22*(0.00000056)/(CCD_LENS_AP/1000)</f>
        <v>2.6096342222222222</v>
      </c>
      <c r="C79" s="19" t="s">
        <v>20</v>
      </c>
      <c r="D79" s="17" t="s">
        <v>29</v>
      </c>
      <c r="E79" s="18">
        <f>CCD_LENS_TEL*CCD_lens_FR</f>
        <v>2.5</v>
      </c>
      <c r="F79" s="19"/>
      <c r="G79" s="37" t="s">
        <v>29</v>
      </c>
      <c r="H79" s="67">
        <f>IF(JCI_Prime="y",1,JCI_proj/JCI_oc-1)*H26/JCI_obj</f>
        <v>8.2890144229574782E-4</v>
      </c>
      <c r="I79" s="68"/>
      <c r="J79" s="37" t="s">
        <v>29</v>
      </c>
      <c r="K79" s="67">
        <f>IF(Prime="y",1,Celst_proj/Celst_oc-1)*K26/Celst_obj</f>
        <v>1.029167742253396E-2</v>
      </c>
      <c r="L79" s="68"/>
    </row>
    <row r="80" spans="1:14" x14ac:dyDescent="0.3">
      <c r="A80" s="65" t="s">
        <v>25</v>
      </c>
      <c r="B80" s="63" t="s">
        <v>63</v>
      </c>
      <c r="C80" s="66"/>
      <c r="D80" s="17" t="s">
        <v>31</v>
      </c>
      <c r="E80" s="72">
        <f>1/(2*CCD_LENS_EFL*TAN((PI()/(180*60))/2))</f>
        <v>25.46479071514263</v>
      </c>
      <c r="F80" s="19" t="s">
        <v>35</v>
      </c>
      <c r="G80" s="73" t="s">
        <v>31</v>
      </c>
      <c r="H80" s="74">
        <f>1/(2*JCI_EFL*TAN((PI()/(180*3600))/2))</f>
        <v>513.09653295197108</v>
      </c>
      <c r="I80" s="68" t="s">
        <v>32</v>
      </c>
      <c r="J80" s="73" t="s">
        <v>31</v>
      </c>
      <c r="K80" s="74">
        <f>1/(2*Celst_EFL*TAN((PI()/(180*3600))/2))</f>
        <v>37.502692044853156</v>
      </c>
      <c r="L80" s="68" t="s">
        <v>32</v>
      </c>
      <c r="N80" s="6">
        <f>SQRT(960^2+1280^2)*0.00375</f>
        <v>6</v>
      </c>
    </row>
    <row r="81" spans="1:12" x14ac:dyDescent="0.3">
      <c r="A81" s="27" t="s">
        <v>28</v>
      </c>
      <c r="B81" s="18" t="s">
        <v>63</v>
      </c>
      <c r="C81" s="66" t="s">
        <v>16</v>
      </c>
      <c r="D81" s="30" t="s">
        <v>34</v>
      </c>
      <c r="E81" s="78">
        <f>sizes(size_rad,CCD_LENS_EFL)</f>
        <v>0.62831966492349478</v>
      </c>
      <c r="F81" s="19" t="s">
        <v>16</v>
      </c>
      <c r="G81" s="79" t="s">
        <v>34</v>
      </c>
      <c r="H81" s="78">
        <f>sizes(size_rad,JCI_EFL)</f>
        <v>1.8709963355499621</v>
      </c>
      <c r="I81" s="68" t="s">
        <v>16</v>
      </c>
      <c r="J81" s="79" t="s">
        <v>34</v>
      </c>
      <c r="K81" s="78">
        <f>sizes(size_rad,Celst_EFL)</f>
        <v>25.598208570957194</v>
      </c>
      <c r="L81" s="68" t="s">
        <v>16</v>
      </c>
    </row>
    <row r="82" spans="1:12" x14ac:dyDescent="0.3">
      <c r="A82" s="17" t="s">
        <v>23</v>
      </c>
      <c r="B82" s="76">
        <v>3</v>
      </c>
      <c r="C82" s="19" t="s">
        <v>24</v>
      </c>
      <c r="D82" s="65" t="s">
        <v>69</v>
      </c>
      <c r="E82" s="81">
        <f>E81/(11.8)</f>
        <v>5.3247429230804638E-2</v>
      </c>
      <c r="F82" s="66" t="s">
        <v>70</v>
      </c>
      <c r="G82" s="65" t="s">
        <v>69</v>
      </c>
      <c r="H82" s="81">
        <f>H81/(11.8)</f>
        <v>0.15855901148728491</v>
      </c>
      <c r="I82" s="66" t="s">
        <v>70</v>
      </c>
      <c r="J82" s="65" t="s">
        <v>69</v>
      </c>
      <c r="K82" s="81">
        <f>K81/(11.8)</f>
        <v>2.1693397094031521</v>
      </c>
      <c r="L82" s="66" t="s">
        <v>70</v>
      </c>
    </row>
    <row r="83" spans="1:12" x14ac:dyDescent="0.3">
      <c r="A83" s="17" t="s">
        <v>15</v>
      </c>
      <c r="B83" s="76">
        <v>135</v>
      </c>
      <c r="C83" s="19" t="s">
        <v>16</v>
      </c>
      <c r="D83" s="17" t="s">
        <v>37</v>
      </c>
      <c r="E83" s="72">
        <f>2*ATAN((8.9/2)/CCD_LENS_EFL)*180/PI()</f>
        <v>3.7759101316398844</v>
      </c>
      <c r="F83" s="117" t="s">
        <v>7</v>
      </c>
      <c r="G83" s="83" t="s">
        <v>37</v>
      </c>
      <c r="H83" s="67">
        <f>2*ATAN((3.55/2)/JCI_EFL)*180/PI()*60</f>
        <v>30.358014247873768</v>
      </c>
      <c r="I83" s="33" t="s">
        <v>8</v>
      </c>
      <c r="J83" s="83" t="s">
        <v>37</v>
      </c>
      <c r="K83" s="67">
        <f>2*ATAN((3.6/2)/Celst_EFL)*180/PI()*60</f>
        <v>2.2501614423592562</v>
      </c>
      <c r="L83" s="33" t="s">
        <v>8</v>
      </c>
    </row>
    <row r="84" spans="1:12" x14ac:dyDescent="0.3">
      <c r="A84" s="17" t="s">
        <v>18</v>
      </c>
      <c r="B84" s="76">
        <v>2.5</v>
      </c>
      <c r="C84" s="19"/>
      <c r="D84" s="17"/>
      <c r="E84" s="72">
        <f>2*ATAN((11.8/2)/CCD_LENS_EFL)*180/PI()</f>
        <v>5.0048906940303022</v>
      </c>
      <c r="F84" s="19" t="s">
        <v>7</v>
      </c>
      <c r="G84" s="31"/>
      <c r="H84" s="67">
        <f>2*ATAN((4.73/2)/JCI_EFL)*180/PI()*60</f>
        <v>40.448643367026662</v>
      </c>
      <c r="I84" s="46" t="s">
        <v>8</v>
      </c>
      <c r="J84" s="31"/>
      <c r="K84" s="67">
        <f>2*ATAN((4.8/2)/Celst_EFL)*180/PI()*60</f>
        <v>3.0002151731672582</v>
      </c>
      <c r="L84" s="46" t="s">
        <v>8</v>
      </c>
    </row>
    <row r="85" spans="1:12" x14ac:dyDescent="0.3">
      <c r="A85" s="84" t="s">
        <v>68</v>
      </c>
      <c r="B85" s="76">
        <v>300</v>
      </c>
      <c r="C85" s="19" t="s">
        <v>9</v>
      </c>
      <c r="D85" s="30" t="s">
        <v>13</v>
      </c>
      <c r="E85" s="89">
        <f>fx(CCD_exp,CCD_ISO,CCD_LENS_EFR,txmsn)</f>
        <v>42.042599881712917</v>
      </c>
      <c r="F85" s="91"/>
      <c r="G85" s="90" t="s">
        <v>13</v>
      </c>
      <c r="H85" s="89">
        <f>fx(CCD_exp,CCD_ISO,H79,txmsn)</f>
        <v>65.159479684235109</v>
      </c>
      <c r="I85" s="91"/>
      <c r="J85" s="90" t="s">
        <v>13</v>
      </c>
      <c r="K85" s="89">
        <f>fx(CCD_exp,CCD_ISO,K79,txmsn)</f>
        <v>57.891212163552147</v>
      </c>
      <c r="L85" s="91"/>
    </row>
    <row r="86" spans="1:12" x14ac:dyDescent="0.3">
      <c r="A86" s="31" t="s">
        <v>87</v>
      </c>
      <c r="B86" s="85">
        <v>15000</v>
      </c>
      <c r="C86" s="19" t="s">
        <v>10</v>
      </c>
      <c r="D86" s="30" t="s">
        <v>40</v>
      </c>
      <c r="E86" s="89">
        <f>mag(CCD_exp,CCD_ISO,CCD_LENS_AP,txmsn)</f>
        <v>15.414281164529891</v>
      </c>
      <c r="F86" s="91"/>
      <c r="G86" s="93" t="s">
        <v>40</v>
      </c>
      <c r="H86" s="89">
        <f>mag(CCD_exp,CCD_ISO,H31,txmsn)</f>
        <v>11.034242978440931</v>
      </c>
      <c r="I86" s="91"/>
      <c r="J86" s="93" t="s">
        <v>40</v>
      </c>
      <c r="K86" s="89">
        <f>mag(CCD_exp,CCD_ISO,K31,txmsn)</f>
        <v>11.661558499065213</v>
      </c>
      <c r="L86" s="91"/>
    </row>
    <row r="87" spans="1:12" x14ac:dyDescent="0.3">
      <c r="A87" s="84"/>
      <c r="B87" s="87"/>
      <c r="C87" s="88"/>
      <c r="D87" s="17" t="s">
        <v>19</v>
      </c>
      <c r="E87" s="45">
        <f>206265*1.22*(0.00000056)/(Ric_ap/1000)</f>
        <v>2.6096342222222222</v>
      </c>
      <c r="F87" s="19" t="s">
        <v>20</v>
      </c>
      <c r="G87" s="17" t="s">
        <v>19</v>
      </c>
      <c r="H87" s="45">
        <f>206265*1.22*(0.00000056)/(JCI_obj/1000)</f>
        <v>2.1351552727272725</v>
      </c>
      <c r="I87" s="19" t="s">
        <v>20</v>
      </c>
      <c r="J87" s="17" t="s">
        <v>19</v>
      </c>
      <c r="K87" s="45">
        <f>206265*1.22*(0.00000056)/(Celst_obj/1000)</f>
        <v>0.70460123999999991</v>
      </c>
      <c r="L87" s="19" t="s">
        <v>20</v>
      </c>
    </row>
    <row r="88" spans="1:12" x14ac:dyDescent="0.3">
      <c r="A88" s="84"/>
      <c r="B88" s="92"/>
      <c r="C88" s="66"/>
      <c r="D88" s="17" t="s">
        <v>72</v>
      </c>
      <c r="E88" s="63">
        <f>0.0074*E80*60</f>
        <v>11.306367077523328</v>
      </c>
      <c r="F88" s="19" t="s">
        <v>20</v>
      </c>
      <c r="G88" s="17" t="s">
        <v>72</v>
      </c>
      <c r="H88" s="63">
        <f>0.0074*H80</f>
        <v>3.7969143438445863</v>
      </c>
      <c r="I88" s="19" t="s">
        <v>20</v>
      </c>
      <c r="J88" s="17" t="s">
        <v>72</v>
      </c>
      <c r="K88" s="81">
        <f>0.0074*K80</f>
        <v>0.27751992113191337</v>
      </c>
      <c r="L88" s="19" t="s">
        <v>20</v>
      </c>
    </row>
    <row r="89" spans="1:12" ht="13.5" thickBot="1" x14ac:dyDescent="0.35">
      <c r="A89" s="118"/>
      <c r="B89" s="119"/>
      <c r="C89" s="120"/>
      <c r="D89" s="95" t="s">
        <v>74</v>
      </c>
      <c r="E89" s="96"/>
      <c r="F89" s="121"/>
      <c r="G89" s="95" t="s">
        <v>74</v>
      </c>
      <c r="H89" s="96"/>
      <c r="I89" s="97"/>
      <c r="J89" s="95" t="s">
        <v>74</v>
      </c>
      <c r="K89" s="96"/>
      <c r="L89" s="97"/>
    </row>
  </sheetData>
  <mergeCells count="15">
    <mergeCell ref="A51:C51"/>
    <mergeCell ref="D51:L51"/>
    <mergeCell ref="J4:L4"/>
    <mergeCell ref="D20:L20"/>
    <mergeCell ref="A34:C34"/>
    <mergeCell ref="D34:L34"/>
    <mergeCell ref="A4:C4"/>
    <mergeCell ref="A10:C10"/>
    <mergeCell ref="A77:C77"/>
    <mergeCell ref="D77:L77"/>
    <mergeCell ref="D4:F4"/>
    <mergeCell ref="A20:C20"/>
    <mergeCell ref="G4:I4"/>
    <mergeCell ref="A64:C64"/>
    <mergeCell ref="D64:L64"/>
  </mergeCells>
  <phoneticPr fontId="0" type="noConversion"/>
  <pageMargins left="0.75" right="0.75" top="1" bottom="1" header="0.5" footer="0.5"/>
  <pageSetup scale="78" orientation="portrait" horizontalDpi="4294967292" r:id="rId1"/>
  <headerFooter alignWithMargins="0">
    <oddHeader>&amp;l&amp;d&amp;c&amp;b&amp;f&amp;r&amp;t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0" sqref="A20"/>
    </sheetView>
  </sheetViews>
  <sheetFormatPr defaultRowHeight="13" x14ac:dyDescent="0.3"/>
  <sheetData>
    <row r="1" spans="1:7" x14ac:dyDescent="0.3">
      <c r="A1" s="1" t="s">
        <v>102</v>
      </c>
    </row>
    <row r="2" spans="1:7" x14ac:dyDescent="0.3">
      <c r="A2" t="s">
        <v>101</v>
      </c>
      <c r="B2">
        <v>11.84</v>
      </c>
      <c r="C2">
        <v>8.8800000000000008</v>
      </c>
      <c r="D2">
        <v>4.8600000000000003</v>
      </c>
      <c r="E2">
        <v>3.66</v>
      </c>
      <c r="F2">
        <f>8.88+2*2.4</f>
        <v>13.68</v>
      </c>
      <c r="G2">
        <f>8.88+2*(2.4+3.66)</f>
        <v>21</v>
      </c>
    </row>
    <row r="3" spans="1:7" x14ac:dyDescent="0.3">
      <c r="A3" t="s">
        <v>94</v>
      </c>
      <c r="B3" t="s">
        <v>95</v>
      </c>
      <c r="C3" t="s">
        <v>96</v>
      </c>
      <c r="D3" t="s">
        <v>97</v>
      </c>
      <c r="E3" t="s">
        <v>98</v>
      </c>
      <c r="F3" t="s">
        <v>99</v>
      </c>
      <c r="G3" t="s">
        <v>100</v>
      </c>
    </row>
    <row r="4" spans="1:7" x14ac:dyDescent="0.3">
      <c r="A4">
        <v>28</v>
      </c>
      <c r="B4" s="3">
        <f>2*ATAN((B$2/2)/$A4)*180/PI()</f>
        <v>23.876300989009682</v>
      </c>
      <c r="C4" s="3">
        <f t="shared" ref="C4:G14" si="0">2*ATAN((C$2/2)/$A4)*180/PI()</f>
        <v>18.020902307869029</v>
      </c>
      <c r="D4" s="3">
        <f t="shared" si="0"/>
        <v>9.9200549676527778</v>
      </c>
      <c r="E4" s="3">
        <f t="shared" si="0"/>
        <v>7.4787403763304381</v>
      </c>
      <c r="F4" s="3">
        <f t="shared" si="0"/>
        <v>27.455372422309942</v>
      </c>
      <c r="G4" s="3">
        <f t="shared" si="0"/>
        <v>41.112090439166927</v>
      </c>
    </row>
    <row r="5" spans="1:7" x14ac:dyDescent="0.3">
      <c r="A5">
        <v>55</v>
      </c>
      <c r="B5" s="3">
        <f t="shared" ref="B5:B14" si="1">2*ATAN((B$2/2)/$A5)*180/PI()</f>
        <v>12.286914061719077</v>
      </c>
      <c r="C5" s="3">
        <f t="shared" si="0"/>
        <v>9.2306470542130512</v>
      </c>
      <c r="D5" s="3">
        <f t="shared" si="0"/>
        <v>5.0595729867756063</v>
      </c>
      <c r="E5" s="3">
        <f t="shared" si="0"/>
        <v>3.8113676170696693</v>
      </c>
      <c r="F5" s="3">
        <f t="shared" si="0"/>
        <v>14.178227057467478</v>
      </c>
      <c r="G5" s="3">
        <f t="shared" si="0"/>
        <v>21.616461880639584</v>
      </c>
    </row>
    <row r="6" spans="1:7" x14ac:dyDescent="0.3">
      <c r="A6">
        <v>135</v>
      </c>
      <c r="B6" s="3">
        <f t="shared" si="1"/>
        <v>5.0218347480876764</v>
      </c>
      <c r="C6" s="3">
        <f t="shared" si="0"/>
        <v>3.767431060314137</v>
      </c>
      <c r="D6" s="3">
        <f t="shared" si="0"/>
        <v>2.0624253397759058</v>
      </c>
      <c r="E6" s="3">
        <f t="shared" si="0"/>
        <v>1.5532571106422914</v>
      </c>
      <c r="F6" s="3">
        <f t="shared" si="0"/>
        <v>5.8010117703079009</v>
      </c>
      <c r="G6" s="3">
        <f t="shared" si="0"/>
        <v>8.89476970018098</v>
      </c>
    </row>
    <row r="7" spans="1:7" x14ac:dyDescent="0.3">
      <c r="A7">
        <v>250</v>
      </c>
      <c r="B7" s="3">
        <f t="shared" si="1"/>
        <v>2.7130210915588933</v>
      </c>
      <c r="C7" s="3">
        <f t="shared" si="0"/>
        <v>2.0349321551585855</v>
      </c>
      <c r="D7" s="3">
        <f t="shared" si="0"/>
        <v>1.113794878098666</v>
      </c>
      <c r="E7" s="3">
        <f t="shared" si="0"/>
        <v>0.83879523073172813</v>
      </c>
      <c r="F7" s="3">
        <f t="shared" si="0"/>
        <v>3.1344430947483808</v>
      </c>
      <c r="G7" s="3">
        <f t="shared" si="0"/>
        <v>4.8100185174108008</v>
      </c>
    </row>
    <row r="8" spans="1:7" x14ac:dyDescent="0.3">
      <c r="A8">
        <v>405</v>
      </c>
      <c r="B8" s="3">
        <f t="shared" si="1"/>
        <v>1.6748980743985551</v>
      </c>
      <c r="C8" s="3">
        <f t="shared" si="0"/>
        <v>1.2562126924587897</v>
      </c>
      <c r="D8" s="3">
        <f t="shared" si="0"/>
        <v>0.68754110374294619</v>
      </c>
      <c r="E8" s="3">
        <f t="shared" si="0"/>
        <v>0.51778055770127895</v>
      </c>
      <c r="F8" s="3">
        <f t="shared" si="0"/>
        <v>1.9351401323702484</v>
      </c>
      <c r="G8" s="3">
        <f t="shared" si="0"/>
        <v>2.9702269073509089</v>
      </c>
    </row>
    <row r="9" spans="1:7" x14ac:dyDescent="0.3">
      <c r="A9">
        <v>600</v>
      </c>
      <c r="B9" s="3">
        <f t="shared" si="1"/>
        <v>1.1306000282875588</v>
      </c>
      <c r="C9" s="3">
        <f t="shared" si="0"/>
        <v>0.84796205888551901</v>
      </c>
      <c r="D9" s="3">
        <f t="shared" si="0"/>
        <v>0.46409327663707545</v>
      </c>
      <c r="E9" s="3">
        <f t="shared" si="0"/>
        <v>0.34950317128140701</v>
      </c>
      <c r="F9" s="3">
        <f t="shared" si="0"/>
        <v>1.3062871864983507</v>
      </c>
      <c r="G9" s="3">
        <f t="shared" si="0"/>
        <v>2.0051476075201253</v>
      </c>
    </row>
    <row r="10" spans="1:7" x14ac:dyDescent="0.3">
      <c r="A10">
        <v>1260</v>
      </c>
      <c r="B10" s="3">
        <f t="shared" si="1"/>
        <v>0.53839447438205856</v>
      </c>
      <c r="C10" s="3">
        <f t="shared" si="0"/>
        <v>0.40379715570225</v>
      </c>
      <c r="D10" s="3">
        <f t="shared" si="0"/>
        <v>0.22099773270150233</v>
      </c>
      <c r="E10" s="3">
        <f t="shared" si="0"/>
        <v>0.1664304806099077</v>
      </c>
      <c r="F10" s="3">
        <f t="shared" si="0"/>
        <v>0.62206235273401966</v>
      </c>
      <c r="G10" s="3">
        <f t="shared" si="0"/>
        <v>0.95490755461915477</v>
      </c>
    </row>
    <row r="11" spans="1:7" x14ac:dyDescent="0.3">
      <c r="A11">
        <v>1450</v>
      </c>
      <c r="B11" s="3">
        <f t="shared" si="1"/>
        <v>0.46784707598238762</v>
      </c>
      <c r="C11" s="3">
        <f t="shared" si="0"/>
        <v>0.35088615993963329</v>
      </c>
      <c r="D11" s="3">
        <f t="shared" si="0"/>
        <v>0.1920394674138837</v>
      </c>
      <c r="E11" s="3">
        <f t="shared" si="0"/>
        <v>0.14462237357148194</v>
      </c>
      <c r="F11" s="3">
        <f t="shared" si="0"/>
        <v>0.54055203446108724</v>
      </c>
      <c r="G11" s="3">
        <f t="shared" si="0"/>
        <v>0.82978644087898235</v>
      </c>
    </row>
    <row r="12" spans="1:7" x14ac:dyDescent="0.3">
      <c r="A12">
        <v>2000</v>
      </c>
      <c r="B12" s="3">
        <f t="shared" si="1"/>
        <v>0.33919002410399013</v>
      </c>
      <c r="C12" s="3">
        <f t="shared" si="0"/>
        <v>0.25439284312207211</v>
      </c>
      <c r="D12" s="3">
        <f t="shared" si="0"/>
        <v>0.13922867570586644</v>
      </c>
      <c r="E12" s="3">
        <f t="shared" si="0"/>
        <v>0.10485124724758535</v>
      </c>
      <c r="F12" s="3">
        <f t="shared" si="0"/>
        <v>0.39190160392827539</v>
      </c>
      <c r="G12" s="3">
        <f t="shared" si="0"/>
        <v>0.60160015772653963</v>
      </c>
    </row>
    <row r="13" spans="1:7" x14ac:dyDescent="0.3">
      <c r="A13">
        <v>5500</v>
      </c>
      <c r="B13" s="3">
        <f t="shared" si="1"/>
        <v>0.12334213953696022</v>
      </c>
      <c r="C13" s="3">
        <f t="shared" si="0"/>
        <v>9.2506620282298946E-2</v>
      </c>
      <c r="D13" s="3">
        <f t="shared" si="0"/>
        <v>5.0628630966359056E-2</v>
      </c>
      <c r="E13" s="3">
        <f t="shared" si="0"/>
        <v>3.8127735505334132E-2</v>
      </c>
      <c r="F13" s="3">
        <f t="shared" si="0"/>
        <v>0.14251015630052366</v>
      </c>
      <c r="G13" s="3">
        <f t="shared" si="0"/>
        <v>0.21876543782277627</v>
      </c>
    </row>
    <row r="14" spans="1:7" x14ac:dyDescent="0.3">
      <c r="A14">
        <v>10000</v>
      </c>
      <c r="B14" s="3">
        <f t="shared" si="1"/>
        <v>6.7838195018541825E-2</v>
      </c>
      <c r="C14" s="3">
        <f t="shared" si="0"/>
        <v>5.0878648864279508E-2</v>
      </c>
      <c r="D14" s="3">
        <f t="shared" si="0"/>
        <v>2.7845748295270156E-2</v>
      </c>
      <c r="E14" s="3">
        <f t="shared" si="0"/>
        <v>2.0970255067697174E-2</v>
      </c>
      <c r="F14" s="3">
        <f t="shared" si="0"/>
        <v>7.8380614150284605E-2</v>
      </c>
      <c r="G14" s="3">
        <f t="shared" si="0"/>
        <v>0.12032109275948429</v>
      </c>
    </row>
    <row r="16" spans="1:7" x14ac:dyDescent="0.3">
      <c r="A16" s="1" t="s">
        <v>103</v>
      </c>
    </row>
    <row r="17" spans="1:7" x14ac:dyDescent="0.3">
      <c r="A17">
        <v>28</v>
      </c>
      <c r="B17" s="3">
        <f t="shared" ref="B17:G17" si="2">2*ATAN((B$2/2)/$A17)*180/PI()*60</f>
        <v>1432.5780593405809</v>
      </c>
      <c r="C17" s="3">
        <f t="shared" si="2"/>
        <v>1081.2541384721417</v>
      </c>
      <c r="D17" s="4">
        <f t="shared" si="2"/>
        <v>595.20329805916663</v>
      </c>
      <c r="E17" s="3">
        <f t="shared" si="2"/>
        <v>448.7244225798263</v>
      </c>
      <c r="F17" s="4">
        <f t="shared" si="2"/>
        <v>1647.3223453385965</v>
      </c>
      <c r="G17" s="4">
        <f t="shared" si="2"/>
        <v>2466.7254263500158</v>
      </c>
    </row>
    <row r="18" spans="1:7" x14ac:dyDescent="0.3">
      <c r="A18">
        <v>55</v>
      </c>
      <c r="B18" s="3">
        <f t="shared" ref="B18:G27" si="3">2*ATAN((B$2/2)/$A18)*180/PI()*60</f>
        <v>737.21484370314465</v>
      </c>
      <c r="C18" s="3">
        <f t="shared" si="3"/>
        <v>553.83882325278307</v>
      </c>
      <c r="D18" s="4">
        <f t="shared" si="3"/>
        <v>303.57437920653638</v>
      </c>
      <c r="E18" s="3">
        <f t="shared" si="3"/>
        <v>228.68205702418015</v>
      </c>
      <c r="F18" s="4">
        <f t="shared" si="3"/>
        <v>850.6936234480487</v>
      </c>
      <c r="G18" s="4">
        <f t="shared" si="3"/>
        <v>1296.987712838375</v>
      </c>
    </row>
    <row r="19" spans="1:7" x14ac:dyDescent="0.3">
      <c r="A19">
        <v>135</v>
      </c>
      <c r="B19" s="3">
        <f t="shared" si="3"/>
        <v>301.31008488526061</v>
      </c>
      <c r="C19" s="3">
        <f t="shared" si="3"/>
        <v>226.04586361884822</v>
      </c>
      <c r="D19" s="4">
        <f t="shared" si="3"/>
        <v>123.74552038655435</v>
      </c>
      <c r="E19" s="3">
        <f t="shared" si="3"/>
        <v>93.195426638537484</v>
      </c>
      <c r="F19" s="4">
        <f t="shared" si="3"/>
        <v>348.06070621847408</v>
      </c>
      <c r="G19" s="4">
        <f t="shared" si="3"/>
        <v>533.68618201085883</v>
      </c>
    </row>
    <row r="20" spans="1:7" x14ac:dyDescent="0.3">
      <c r="A20">
        <v>250</v>
      </c>
      <c r="B20" s="3">
        <f t="shared" si="3"/>
        <v>162.7812654935336</v>
      </c>
      <c r="C20" s="3">
        <f t="shared" si="3"/>
        <v>122.09592930951513</v>
      </c>
      <c r="D20" s="4">
        <f t="shared" si="3"/>
        <v>66.827692685919956</v>
      </c>
      <c r="E20" s="3">
        <f t="shared" si="3"/>
        <v>50.327713843903688</v>
      </c>
      <c r="F20" s="4">
        <f t="shared" si="3"/>
        <v>188.06658568490286</v>
      </c>
      <c r="G20" s="4">
        <f t="shared" si="3"/>
        <v>288.60111104464806</v>
      </c>
    </row>
    <row r="21" spans="1:7" x14ac:dyDescent="0.3">
      <c r="A21">
        <v>405</v>
      </c>
      <c r="B21" s="3">
        <f t="shared" si="3"/>
        <v>100.4938844639133</v>
      </c>
      <c r="C21" s="3">
        <f t="shared" si="3"/>
        <v>75.372761547527389</v>
      </c>
      <c r="D21" s="4">
        <f t="shared" si="3"/>
        <v>41.252466224576771</v>
      </c>
      <c r="E21" s="3">
        <f t="shared" si="3"/>
        <v>31.066833462076737</v>
      </c>
      <c r="F21" s="4">
        <f t="shared" si="3"/>
        <v>116.10840794221491</v>
      </c>
      <c r="G21" s="4">
        <f t="shared" si="3"/>
        <v>178.21361444105455</v>
      </c>
    </row>
    <row r="22" spans="1:7" x14ac:dyDescent="0.3">
      <c r="A22">
        <v>600</v>
      </c>
      <c r="B22" s="3">
        <f t="shared" si="3"/>
        <v>67.836001697253522</v>
      </c>
      <c r="C22" s="3">
        <f t="shared" si="3"/>
        <v>50.877723533131139</v>
      </c>
      <c r="D22" s="4">
        <f t="shared" si="3"/>
        <v>27.845596598224528</v>
      </c>
      <c r="E22" s="3">
        <f t="shared" si="3"/>
        <v>20.97019027688442</v>
      </c>
      <c r="F22" s="4">
        <f t="shared" si="3"/>
        <v>78.377231189901039</v>
      </c>
      <c r="G22" s="4">
        <f t="shared" si="3"/>
        <v>120.30885645120752</v>
      </c>
    </row>
    <row r="23" spans="1:7" x14ac:dyDescent="0.3">
      <c r="A23">
        <v>1260</v>
      </c>
      <c r="B23" s="3">
        <f t="shared" si="3"/>
        <v>32.303668462923511</v>
      </c>
      <c r="C23" s="3">
        <f t="shared" si="3"/>
        <v>24.227829342134999</v>
      </c>
      <c r="D23" s="4">
        <f t="shared" si="3"/>
        <v>13.25986396209014</v>
      </c>
      <c r="E23" s="3">
        <f t="shared" si="3"/>
        <v>9.9858288365944627</v>
      </c>
      <c r="F23" s="4">
        <f t="shared" si="3"/>
        <v>37.323741164041181</v>
      </c>
      <c r="G23" s="4">
        <f t="shared" si="3"/>
        <v>57.294453277149287</v>
      </c>
    </row>
    <row r="24" spans="1:7" x14ac:dyDescent="0.3">
      <c r="A24">
        <v>1450</v>
      </c>
      <c r="B24" s="3">
        <f t="shared" si="3"/>
        <v>28.070824558943258</v>
      </c>
      <c r="C24" s="3">
        <f t="shared" si="3"/>
        <v>21.053169596377998</v>
      </c>
      <c r="D24" s="4">
        <f t="shared" si="3"/>
        <v>11.522368044833021</v>
      </c>
      <c r="E24" s="3">
        <f t="shared" si="3"/>
        <v>8.6773424142889173</v>
      </c>
      <c r="F24" s="4">
        <f t="shared" si="3"/>
        <v>32.433122067665238</v>
      </c>
      <c r="G24" s="4">
        <f t="shared" si="3"/>
        <v>49.787186452738943</v>
      </c>
    </row>
    <row r="25" spans="1:7" x14ac:dyDescent="0.3">
      <c r="A25">
        <v>2000</v>
      </c>
      <c r="B25" s="3">
        <f t="shared" si="3"/>
        <v>20.351401446239407</v>
      </c>
      <c r="C25" s="3">
        <f t="shared" si="3"/>
        <v>15.263570587324327</v>
      </c>
      <c r="D25" s="4">
        <f t="shared" si="3"/>
        <v>8.3537205423519865</v>
      </c>
      <c r="E25" s="3">
        <f t="shared" si="3"/>
        <v>6.2910748348551211</v>
      </c>
      <c r="F25" s="4">
        <f t="shared" si="3"/>
        <v>23.514096235696524</v>
      </c>
      <c r="G25" s="4">
        <f t="shared" si="3"/>
        <v>36.096009463592381</v>
      </c>
    </row>
    <row r="26" spans="1:7" x14ac:dyDescent="0.3">
      <c r="A26">
        <v>5500</v>
      </c>
      <c r="B26" s="3">
        <f t="shared" si="3"/>
        <v>7.4005283722176127</v>
      </c>
      <c r="C26" s="3">
        <f t="shared" si="3"/>
        <v>5.5503972169379363</v>
      </c>
      <c r="D26" s="4">
        <f t="shared" si="3"/>
        <v>3.0377178579815434</v>
      </c>
      <c r="E26" s="3">
        <f t="shared" si="3"/>
        <v>2.287664130320048</v>
      </c>
      <c r="F26" s="4">
        <f t="shared" si="3"/>
        <v>8.5506093780314192</v>
      </c>
      <c r="G26" s="4">
        <f t="shared" si="3"/>
        <v>13.125926269366577</v>
      </c>
    </row>
    <row r="27" spans="1:7" x14ac:dyDescent="0.3">
      <c r="A27">
        <v>10000</v>
      </c>
      <c r="B27" s="3">
        <f t="shared" si="3"/>
        <v>4.0702917011125095</v>
      </c>
      <c r="C27" s="3">
        <f t="shared" si="3"/>
        <v>3.0527189318567705</v>
      </c>
      <c r="D27" s="4">
        <f t="shared" si="3"/>
        <v>1.6707448977162094</v>
      </c>
      <c r="E27" s="3">
        <f t="shared" si="3"/>
        <v>1.2582153040618305</v>
      </c>
      <c r="F27" s="4">
        <f t="shared" si="3"/>
        <v>4.7028368490170767</v>
      </c>
      <c r="G27" s="4">
        <f t="shared" si="3"/>
        <v>7.2192655655690574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C23"/>
  <sheetViews>
    <sheetView workbookViewId="0">
      <selection activeCell="C21" sqref="C21"/>
    </sheetView>
  </sheetViews>
  <sheetFormatPr defaultRowHeight="13" x14ac:dyDescent="0.3"/>
  <sheetData>
    <row r="2" spans="1:2" x14ac:dyDescent="0.3">
      <c r="A2" t="s">
        <v>46</v>
      </c>
      <c r="B2">
        <v>2816</v>
      </c>
    </row>
    <row r="3" spans="1:2" x14ac:dyDescent="0.3">
      <c r="A3" t="s">
        <v>47</v>
      </c>
      <c r="B3">
        <v>2112</v>
      </c>
    </row>
    <row r="4" spans="1:2" x14ac:dyDescent="0.3">
      <c r="B4">
        <f>B3*B2</f>
        <v>5947392</v>
      </c>
    </row>
    <row r="5" spans="1:2" x14ac:dyDescent="0.3">
      <c r="A5" t="s">
        <v>50</v>
      </c>
      <c r="B5">
        <v>7.18</v>
      </c>
    </row>
    <row r="6" spans="1:2" x14ac:dyDescent="0.3">
      <c r="A6" t="s">
        <v>51</v>
      </c>
      <c r="B6">
        <v>5.32</v>
      </c>
    </row>
    <row r="8" spans="1:2" x14ac:dyDescent="0.3">
      <c r="A8" t="s">
        <v>48</v>
      </c>
      <c r="B8">
        <f>B5/B2</f>
        <v>2.549715909090909E-3</v>
      </c>
    </row>
    <row r="9" spans="1:2" x14ac:dyDescent="0.3">
      <c r="A9" t="s">
        <v>49</v>
      </c>
      <c r="B9" s="2">
        <f>B6/B3</f>
        <v>2.5189393939393941E-3</v>
      </c>
    </row>
    <row r="10" spans="1:2" x14ac:dyDescent="0.3">
      <c r="A10" t="s">
        <v>52</v>
      </c>
      <c r="B10">
        <v>7.8</v>
      </c>
    </row>
    <row r="11" spans="1:2" x14ac:dyDescent="0.3">
      <c r="A11" t="s">
        <v>53</v>
      </c>
      <c r="B11">
        <f>2*ATAN((0.5*B5)/7.8)*180/PI()</f>
        <v>49.429109044601546</v>
      </c>
    </row>
    <row r="14" spans="1:2" x14ac:dyDescent="0.3">
      <c r="A14" t="s">
        <v>46</v>
      </c>
      <c r="B14">
        <v>1600</v>
      </c>
    </row>
    <row r="15" spans="1:2" x14ac:dyDescent="0.3">
      <c r="A15" t="s">
        <v>47</v>
      </c>
      <c r="B15">
        <v>1200</v>
      </c>
    </row>
    <row r="16" spans="1:2" x14ac:dyDescent="0.3">
      <c r="B16">
        <f>B15*B14</f>
        <v>1920000</v>
      </c>
    </row>
    <row r="17" spans="1:3" x14ac:dyDescent="0.3">
      <c r="A17" t="s">
        <v>50</v>
      </c>
      <c r="B17">
        <v>7.18</v>
      </c>
    </row>
    <row r="18" spans="1:3" x14ac:dyDescent="0.3">
      <c r="A18" t="s">
        <v>51</v>
      </c>
      <c r="B18">
        <v>5.32</v>
      </c>
    </row>
    <row r="20" spans="1:3" x14ac:dyDescent="0.3">
      <c r="A20" t="s">
        <v>48</v>
      </c>
      <c r="B20" s="2">
        <f>B17/B14</f>
        <v>4.4875000000000002E-3</v>
      </c>
      <c r="C20" t="s">
        <v>16</v>
      </c>
    </row>
    <row r="21" spans="1:3" x14ac:dyDescent="0.3">
      <c r="A21" t="s">
        <v>49</v>
      </c>
      <c r="B21" s="2">
        <f>B18/B15</f>
        <v>4.4333333333333334E-3</v>
      </c>
      <c r="C21" t="s">
        <v>16</v>
      </c>
    </row>
    <row r="22" spans="1:3" x14ac:dyDescent="0.3">
      <c r="A22" t="s">
        <v>52</v>
      </c>
      <c r="B22">
        <v>7.8</v>
      </c>
    </row>
    <row r="23" spans="1:3" x14ac:dyDescent="0.3">
      <c r="A23" t="s">
        <v>53</v>
      </c>
      <c r="B23">
        <f>2*ATAN((0.5*B17)/7.8)*180/PI()</f>
        <v>49.429109044601546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76</vt:i4>
      </vt:variant>
    </vt:vector>
  </HeadingPairs>
  <TitlesOfParts>
    <vt:vector size="79" baseType="lpstr">
      <vt:lpstr>Main</vt:lpstr>
      <vt:lpstr>FOVs</vt:lpstr>
      <vt:lpstr>C60</vt:lpstr>
      <vt:lpstr>alt</vt:lpstr>
      <vt:lpstr>CCD_exp</vt:lpstr>
      <vt:lpstr>CCD_ISO</vt:lpstr>
      <vt:lpstr>CCD_LENS_AP</vt:lpstr>
      <vt:lpstr>CCD_LENS_EFL</vt:lpstr>
      <vt:lpstr>CCD_LENS_EFR</vt:lpstr>
      <vt:lpstr>CCD_lens_FL</vt:lpstr>
      <vt:lpstr>CCD_lens_FR</vt:lpstr>
      <vt:lpstr>CCD_LENS_TEL</vt:lpstr>
      <vt:lpstr>celest_fx</vt:lpstr>
      <vt:lpstr>celest_mag</vt:lpstr>
      <vt:lpstr>Celst_EFL</vt:lpstr>
      <vt:lpstr>Celst_FOV</vt:lpstr>
      <vt:lpstr>Celst_frh</vt:lpstr>
      <vt:lpstr>Celst_frw</vt:lpstr>
      <vt:lpstr>celst_magnif</vt:lpstr>
      <vt:lpstr>Celst_obj</vt:lpstr>
      <vt:lpstr>Celst_oc</vt:lpstr>
      <vt:lpstr>Celst_proj</vt:lpstr>
      <vt:lpstr>Celst_red</vt:lpstr>
      <vt:lpstr>Celst_res</vt:lpstr>
      <vt:lpstr>duration</vt:lpstr>
      <vt:lpstr>eff_ISO</vt:lpstr>
      <vt:lpstr>ext</vt:lpstr>
      <vt:lpstr>ext_fx</vt:lpstr>
      <vt:lpstr>ext_mag</vt:lpstr>
      <vt:lpstr>ISO</vt:lpstr>
      <vt:lpstr>JCI_bar</vt:lpstr>
      <vt:lpstr>JCI_EFL</vt:lpstr>
      <vt:lpstr>JCI_fov</vt:lpstr>
      <vt:lpstr>JCI_frh</vt:lpstr>
      <vt:lpstr>JCI_frw</vt:lpstr>
      <vt:lpstr>jci_fx</vt:lpstr>
      <vt:lpstr>jci_mag</vt:lpstr>
      <vt:lpstr>jci_magnif</vt:lpstr>
      <vt:lpstr>JCI_obj</vt:lpstr>
      <vt:lpstr>JCI_oc</vt:lpstr>
      <vt:lpstr>JCI_Prime</vt:lpstr>
      <vt:lpstr>JCI_proj</vt:lpstr>
      <vt:lpstr>JCI_res</vt:lpstr>
      <vt:lpstr>k</vt:lpstr>
      <vt:lpstr>OL_Ap</vt:lpstr>
      <vt:lpstr>OL_EFL</vt:lpstr>
      <vt:lpstr>OL_EFR</vt:lpstr>
      <vt:lpstr>OL_FL</vt:lpstr>
      <vt:lpstr>OL_FR</vt:lpstr>
      <vt:lpstr>ol_fx</vt:lpstr>
      <vt:lpstr>ol_mag</vt:lpstr>
      <vt:lpstr>OLC_EFL</vt:lpstr>
      <vt:lpstr>OLC_EFR</vt:lpstr>
      <vt:lpstr>OLJ_EFL</vt:lpstr>
      <vt:lpstr>OLJ_EFR</vt:lpstr>
      <vt:lpstr>Prime</vt:lpstr>
      <vt:lpstr>Main!Print_Area</vt:lpstr>
      <vt:lpstr>rcp_exponent</vt:lpstr>
      <vt:lpstr>rcp_fx</vt:lpstr>
      <vt:lpstr>rcp_mag</vt:lpstr>
      <vt:lpstr>Ric_ap</vt:lpstr>
      <vt:lpstr>Ric_EFL</vt:lpstr>
      <vt:lpstr>Ric_EFR</vt:lpstr>
      <vt:lpstr>Ric_exp</vt:lpstr>
      <vt:lpstr>Ric_FL</vt:lpstr>
      <vt:lpstr>Ric_fr</vt:lpstr>
      <vt:lpstr>Ric_frh</vt:lpstr>
      <vt:lpstr>Ric_frw</vt:lpstr>
      <vt:lpstr>ric_fx</vt:lpstr>
      <vt:lpstr>Ric_ISO</vt:lpstr>
      <vt:lpstr>ric_mag</vt:lpstr>
      <vt:lpstr>Ric_tel</vt:lpstr>
      <vt:lpstr>secz</vt:lpstr>
      <vt:lpstr>size_deg</vt:lpstr>
      <vt:lpstr>size_min</vt:lpstr>
      <vt:lpstr>size_rad</vt:lpstr>
      <vt:lpstr>size_sec</vt:lpstr>
      <vt:lpstr>txmsn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M. Hill</dc:creator>
  <cp:lastModifiedBy>Steven Hill</cp:lastModifiedBy>
  <cp:lastPrinted>2004-09-14T22:41:42Z</cp:lastPrinted>
  <dcterms:created xsi:type="dcterms:W3CDTF">2004-09-14T15:06:03Z</dcterms:created>
  <dcterms:modified xsi:type="dcterms:W3CDTF">2018-01-07T16:34:40Z</dcterms:modified>
</cp:coreProperties>
</file>