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hartsheets/sheet1.xml" ContentType="application/vnd.openxmlformats-officedocument.spreadsheetml.chartsheet+xml"/>
  <Override PartName="/xl/chartsheets/sheet2.xml" ContentType="application/vnd.openxmlformats-officedocument.spreadsheetml.chartsheet+xml"/>
  <Override PartName="/xl/chartsheets/sheet3.xml" ContentType="application/vnd.openxmlformats-officedocument.spreadsheetml.chart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ml.chartshapes+xml"/>
  <Override PartName="/xl/drawings/drawing4.xml" ContentType="application/vnd.openxmlformats-officedocument.drawing+xml"/>
  <Override PartName="/xl/charts/chart3.xml" ContentType="application/vnd.openxmlformats-officedocument.drawingml.chart+xml"/>
  <Override PartName="/xl/drawings/drawing5.xml" ContentType="application/vnd.openxmlformats-officedocument.drawingml.chartshapes+xml"/>
  <Override PartName="/xl/drawings/drawing6.xml" ContentType="application/vnd.openxmlformats-officedocument.drawing+xml"/>
  <Override PartName="/xl/charts/chart4.xml" ContentType="application/vnd.openxmlformats-officedocument.drawingml.chart+xml"/>
  <Override PartName="/xl/drawings/drawing7.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527"/>
  <workbookPr/>
  <mc:AlternateContent xmlns:mc="http://schemas.openxmlformats.org/markup-compatibility/2006">
    <mc:Choice Requires="x15">
      <x15ac:absPath xmlns:x15ac="http://schemas.microsoft.com/office/spreadsheetml/2010/11/ac" url="F:\Astronomy\Projects\GeneralDocumentation\ObservingReports\"/>
    </mc:Choice>
  </mc:AlternateContent>
  <xr:revisionPtr revIDLastSave="0" documentId="13_ncr:1_{66B2A0A5-BAAD-4B2F-B2BA-7C03CC519D05}" xr6:coauthVersionLast="45" xr6:coauthVersionMax="45" xr10:uidLastSave="{00000000-0000-0000-0000-000000000000}"/>
  <bookViews>
    <workbookView xWindow="34665" yWindow="2055" windowWidth="17970" windowHeight="11880" tabRatio="700" activeTab="2" xr2:uid="{00000000-000D-0000-FFFF-FFFF00000000}"/>
  </bookViews>
  <sheets>
    <sheet name="Summary" sheetId="8" r:id="rId1"/>
    <sheet name="All Planets" sheetId="16" r:id="rId2"/>
    <sheet name="Moon" sheetId="21" r:id="rId3"/>
    <sheet name="Venus" sheetId="19" r:id="rId4"/>
    <sheet name="Mars" sheetId="20" r:id="rId5"/>
    <sheet name="Mars Seasonal Coverage Chart" sheetId="22" r:id="rId6"/>
    <sheet name="Mars Longitude Coverage Chart" sheetId="25" r:id="rId7"/>
    <sheet name="Mars Mapping Coverage" sheetId="26" r:id="rId8"/>
    <sheet name="Jupiter" sheetId="17" r:id="rId9"/>
    <sheet name="Saturn" sheetId="18" r:id="rId10"/>
    <sheet name="Uranus" sheetId="23" r:id="rId11"/>
    <sheet name="Neptune" sheetId="24" r:id="rId12"/>
  </sheets>
  <definedNames>
    <definedName name="_xlnm._FilterDatabase" localSheetId="1" hidden="1">'All Planets'!$A$1:$S$116</definedName>
    <definedName name="_xlnm._FilterDatabase" localSheetId="8" hidden="1">Jupiter!$A$1:$X$144</definedName>
    <definedName name="_xlnm._FilterDatabase" localSheetId="4" hidden="1">Mars!$A$1:$AA$92</definedName>
    <definedName name="_xlnm._FilterDatabase" localSheetId="2" hidden="1">Moon!$A$1:$AB$129</definedName>
    <definedName name="_xlnm._FilterDatabase" localSheetId="11" hidden="1">Neptune!$A$1:$S$14</definedName>
    <definedName name="_xlnm._FilterDatabase" localSheetId="9" hidden="1">Saturn!$A$1:$T$30</definedName>
    <definedName name="_xlnm._FilterDatabase" localSheetId="10" hidden="1">Uranus!$A$1:$R$24</definedName>
    <definedName name="_xlnm._FilterDatabase" localSheetId="3" hidden="1">Venus!$A$1:$O$82</definedName>
    <definedName name="_Toc170879297" localSheetId="1">'All Planets'!#REF!</definedName>
    <definedName name="_Toc170879297" localSheetId="8">Jupiter!#REF!</definedName>
    <definedName name="_Toc170879297" localSheetId="4">Mars!#REF!</definedName>
    <definedName name="_Toc170879297" localSheetId="2">Moon!#REF!</definedName>
    <definedName name="_Toc170879297" localSheetId="11">Neptune!#REF!</definedName>
    <definedName name="_Toc170879297" localSheetId="9">Saturn!#REF!</definedName>
    <definedName name="_Toc170879297" localSheetId="10">Uranus!#REF!</definedName>
    <definedName name="_Toc170879297" localSheetId="3">Venus!#REF!</definedName>
    <definedName name="_Toc170879298" localSheetId="1">'All Planets'!#REF!</definedName>
    <definedName name="_Toc170879298" localSheetId="8">Jupiter!#REF!</definedName>
    <definedName name="_Toc170879298" localSheetId="4">Mars!#REF!</definedName>
    <definedName name="_Toc170879298" localSheetId="2">Moon!#REF!</definedName>
    <definedName name="_Toc170879298" localSheetId="11">Neptune!#REF!</definedName>
    <definedName name="_Toc170879298" localSheetId="9">Saturn!#REF!</definedName>
    <definedName name="_Toc170879298" localSheetId="10">Uranus!#REF!</definedName>
    <definedName name="_Toc170879298" localSheetId="3">Venus!#REF!</definedName>
    <definedName name="_Toc170879299" localSheetId="1">'All Planets'!#REF!</definedName>
    <definedName name="_Toc170879299" localSheetId="8">Jupiter!#REF!</definedName>
    <definedName name="_Toc170879299" localSheetId="4">Mars!#REF!</definedName>
    <definedName name="_Toc170879299" localSheetId="2">Moon!#REF!</definedName>
    <definedName name="_Toc170879299" localSheetId="11">Neptune!#REF!</definedName>
    <definedName name="_Toc170879299" localSheetId="9">Saturn!#REF!</definedName>
    <definedName name="_Toc170879299" localSheetId="10">Uranus!#REF!</definedName>
    <definedName name="_Toc170879299" localSheetId="3">Venus!#REF!</definedName>
    <definedName name="_Toc170879300" localSheetId="1">'All Planets'!#REF!</definedName>
    <definedName name="_Toc170879300" localSheetId="8">Jupiter!#REF!</definedName>
    <definedName name="_Toc170879300" localSheetId="4">Mars!#REF!</definedName>
    <definedName name="_Toc170879300" localSheetId="2">Moon!#REF!</definedName>
    <definedName name="_Toc170879300" localSheetId="11">Neptune!#REF!</definedName>
    <definedName name="_Toc170879300" localSheetId="9">Saturn!#REF!</definedName>
    <definedName name="_Toc170879300" localSheetId="10">Uranus!#REF!</definedName>
    <definedName name="_Toc170879300" localSheetId="3">Venus!#REF!</definedName>
    <definedName name="_Toc170879301" localSheetId="1">'All Planets'!#REF!</definedName>
    <definedName name="_Toc170879301" localSheetId="8">Jupiter!#REF!</definedName>
    <definedName name="_Toc170879301" localSheetId="4">Mars!#REF!</definedName>
    <definedName name="_Toc170879301" localSheetId="2">Moon!#REF!</definedName>
    <definedName name="_Toc170879301" localSheetId="11">Neptune!#REF!</definedName>
    <definedName name="_Toc170879301" localSheetId="9">Saturn!#REF!</definedName>
    <definedName name="_Toc170879301" localSheetId="10">Uranus!#REF!</definedName>
    <definedName name="_Toc170879301" localSheetId="3">Venus!#REF!</definedName>
    <definedName name="_Toc170879302" localSheetId="1">'All Planets'!#REF!</definedName>
    <definedName name="_Toc170879302" localSheetId="8">Jupiter!#REF!</definedName>
    <definedName name="_Toc170879302" localSheetId="4">Mars!#REF!</definedName>
    <definedName name="_Toc170879302" localSheetId="2">Moon!#REF!</definedName>
    <definedName name="_Toc170879302" localSheetId="11">Neptune!#REF!</definedName>
    <definedName name="_Toc170879302" localSheetId="9">Saturn!#REF!</definedName>
    <definedName name="_Toc170879302" localSheetId="10">Uranus!#REF!</definedName>
    <definedName name="_Toc170879302" localSheetId="3">Venus!#REF!</definedName>
    <definedName name="_Toc170879303" localSheetId="1">'All Planets'!#REF!</definedName>
    <definedName name="_Toc170879303" localSheetId="8">Jupiter!#REF!</definedName>
    <definedName name="_Toc170879303" localSheetId="4">Mars!#REF!</definedName>
    <definedName name="_Toc170879303" localSheetId="2">Moon!#REF!</definedName>
    <definedName name="_Toc170879303" localSheetId="11">Neptune!#REF!</definedName>
    <definedName name="_Toc170879303" localSheetId="9">Saturn!#REF!</definedName>
    <definedName name="_Toc170879303" localSheetId="10">Uranus!#REF!</definedName>
    <definedName name="_Toc170879303" localSheetId="3">Venus!#REF!</definedName>
    <definedName name="_Toc170879304" localSheetId="1">'All Planets'!#REF!</definedName>
    <definedName name="_Toc170879304" localSheetId="8">Jupiter!#REF!</definedName>
    <definedName name="_Toc170879304" localSheetId="4">Mars!#REF!</definedName>
    <definedName name="_Toc170879304" localSheetId="2">Moon!#REF!</definedName>
    <definedName name="_Toc170879304" localSheetId="11">Neptune!#REF!</definedName>
    <definedName name="_Toc170879304" localSheetId="9">Saturn!#REF!</definedName>
    <definedName name="_Toc170879304" localSheetId="10">Uranus!#REF!</definedName>
    <definedName name="_Toc170879304" localSheetId="3">Venus!#REF!</definedName>
    <definedName name="_Toc170879305" localSheetId="1">'All Planets'!#REF!</definedName>
    <definedName name="_Toc170879305" localSheetId="8">Jupiter!#REF!</definedName>
    <definedName name="_Toc170879305" localSheetId="4">Mars!#REF!</definedName>
    <definedName name="_Toc170879305" localSheetId="2">Moon!#REF!</definedName>
    <definedName name="_Toc170879305" localSheetId="11">Neptune!#REF!</definedName>
    <definedName name="_Toc170879305" localSheetId="9">Saturn!#REF!</definedName>
    <definedName name="_Toc170879305" localSheetId="10">Uranus!#REF!</definedName>
    <definedName name="_Toc170879305" localSheetId="3">Venus!#REF!</definedName>
    <definedName name="_Toc170879306" localSheetId="1">'All Planets'!#REF!</definedName>
    <definedName name="_Toc170879306" localSheetId="8">Jupiter!#REF!</definedName>
    <definedName name="_Toc170879306" localSheetId="4">Mars!#REF!</definedName>
    <definedName name="_Toc170879306" localSheetId="2">Moon!#REF!</definedName>
    <definedName name="_Toc170879306" localSheetId="11">Neptune!#REF!</definedName>
    <definedName name="_Toc170879306" localSheetId="9">Saturn!#REF!</definedName>
    <definedName name="_Toc170879306" localSheetId="10">Uranus!#REF!</definedName>
    <definedName name="_Toc170879306" localSheetId="3">Venus!#REF!</definedName>
    <definedName name="_xlnm.Print_Area" localSheetId="1">'All Planets'!$B:$Q</definedName>
    <definedName name="_xlnm.Print_Area" localSheetId="8">Jupiter!$B:$V</definedName>
    <definedName name="_xlnm.Print_Area" localSheetId="4">Mars!$B:$R</definedName>
    <definedName name="_xlnm.Print_Area" localSheetId="2">Moon!$B:$Z</definedName>
    <definedName name="_xlnm.Print_Area" localSheetId="11">Neptune!$A:$Q</definedName>
    <definedName name="_xlnm.Print_Area" localSheetId="9">Saturn!$A:$R</definedName>
    <definedName name="_xlnm.Print_Area" localSheetId="10">Uranus!$A:$P</definedName>
    <definedName name="_xlnm.Print_Area" localSheetId="3">Venus!$A:$M</definedName>
    <definedName name="_xlnm.Print_Titles" localSheetId="1">'All Planets'!$1:$1</definedName>
    <definedName name="_xlnm.Print_Titles" localSheetId="8">Jupiter!$1:$1</definedName>
    <definedName name="_xlnm.Print_Titles" localSheetId="4">Mars!$1:$1</definedName>
    <definedName name="_xlnm.Print_Titles" localSheetId="2">Moon!$1:$1</definedName>
    <definedName name="_xlnm.Print_Titles" localSheetId="11">Neptune!$1:$1</definedName>
    <definedName name="_xlnm.Print_Titles" localSheetId="9">Saturn!$1:$1</definedName>
    <definedName name="_xlnm.Print_Titles" localSheetId="10">Uranus!$1:$1</definedName>
    <definedName name="_xlnm.Print_Titles" localSheetId="3">Venus!$1:$1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T113" i="20" l="1"/>
  <c r="X113" i="20" s="1"/>
  <c r="Y113" i="20" s="1"/>
  <c r="W113" i="20"/>
  <c r="U113" i="20"/>
  <c r="I113" i="20"/>
  <c r="X112" i="20"/>
  <c r="Y112" i="20" s="1"/>
  <c r="W112" i="20"/>
  <c r="T112" i="20"/>
  <c r="I112" i="20"/>
  <c r="U112" i="20"/>
  <c r="W111" i="20"/>
  <c r="U111" i="20"/>
  <c r="T111" i="20"/>
  <c r="X111" i="20" s="1"/>
  <c r="Y111" i="20" s="1"/>
  <c r="I111" i="20"/>
  <c r="W110" i="20"/>
  <c r="U110" i="20"/>
  <c r="T110" i="20"/>
  <c r="X110" i="20" s="1"/>
  <c r="Y110" i="20" s="1"/>
  <c r="I110" i="20"/>
  <c r="W109" i="20"/>
  <c r="U109" i="20"/>
  <c r="T109" i="20"/>
  <c r="X109" i="20" s="1"/>
  <c r="Y109" i="20" s="1"/>
  <c r="I109" i="20"/>
  <c r="W108" i="20"/>
  <c r="U108" i="20"/>
  <c r="T108" i="20"/>
  <c r="X108" i="20" s="1"/>
  <c r="Y108" i="20" s="1"/>
  <c r="I108" i="20"/>
  <c r="W107" i="20"/>
  <c r="U107" i="20"/>
  <c r="T107" i="20"/>
  <c r="X107" i="20" s="1"/>
  <c r="Y107" i="20" s="1"/>
  <c r="I107" i="20"/>
  <c r="W106" i="20"/>
  <c r="U106" i="20"/>
  <c r="T106" i="20"/>
  <c r="X106" i="20" s="1"/>
  <c r="Y106" i="20" s="1"/>
  <c r="I106" i="20"/>
  <c r="W105" i="20"/>
  <c r="I105" i="20"/>
  <c r="U105" i="20"/>
  <c r="T105" i="20"/>
  <c r="X105" i="20" s="1"/>
  <c r="Y105" i="20" s="1"/>
  <c r="W104" i="20"/>
  <c r="U104" i="20"/>
  <c r="T104" i="20"/>
  <c r="X104" i="20" s="1"/>
  <c r="Y104" i="20" s="1"/>
  <c r="I104" i="20"/>
  <c r="W103" i="20"/>
  <c r="U103" i="20"/>
  <c r="T103" i="20"/>
  <c r="X103" i="20" s="1"/>
  <c r="Y103" i="20" s="1"/>
  <c r="I103" i="20"/>
  <c r="W102" i="20"/>
  <c r="U102" i="20"/>
  <c r="T102" i="20"/>
  <c r="X102" i="20" s="1"/>
  <c r="Y102" i="20" s="1"/>
  <c r="I102" i="20"/>
  <c r="W101" i="20"/>
  <c r="T101" i="20"/>
  <c r="X101" i="20"/>
  <c r="Y101" i="20" s="1"/>
  <c r="I101" i="20"/>
  <c r="U101" i="20"/>
  <c r="W100" i="20"/>
  <c r="U100" i="20"/>
  <c r="T100" i="20"/>
  <c r="X100" i="20" s="1"/>
  <c r="Y100" i="20" s="1"/>
  <c r="I100" i="20"/>
  <c r="F132" i="17"/>
  <c r="W99" i="20"/>
  <c r="U99" i="20"/>
  <c r="T99" i="20"/>
  <c r="X99" i="20" s="1"/>
  <c r="Y99" i="20" s="1"/>
  <c r="I99" i="20"/>
  <c r="W98" i="20"/>
  <c r="U98" i="20"/>
  <c r="T98" i="20"/>
  <c r="X98" i="20"/>
  <c r="Y98" i="20" s="1"/>
  <c r="I98" i="20"/>
  <c r="W97" i="20"/>
  <c r="U97" i="20"/>
  <c r="T97" i="20"/>
  <c r="X97" i="20" s="1"/>
  <c r="Y97" i="20" s="1"/>
  <c r="I97" i="20"/>
  <c r="W96" i="20"/>
  <c r="U96" i="20"/>
  <c r="T96" i="20"/>
  <c r="X96" i="20"/>
  <c r="Y96" i="20" s="1"/>
  <c r="I96" i="20"/>
  <c r="W95" i="20"/>
  <c r="U95" i="20"/>
  <c r="T95" i="20"/>
  <c r="X95" i="20"/>
  <c r="Y95" i="20" s="1"/>
  <c r="I95" i="20"/>
  <c r="W94" i="20"/>
  <c r="U94" i="20"/>
  <c r="T94" i="20"/>
  <c r="X94" i="20"/>
  <c r="Y94" i="20" s="1"/>
  <c r="I94" i="20"/>
  <c r="W93" i="20"/>
  <c r="T93" i="20"/>
  <c r="X93" i="20" s="1"/>
  <c r="Y93" i="20" s="1"/>
  <c r="I93" i="20"/>
  <c r="U93" i="20"/>
  <c r="E37" i="19"/>
  <c r="G37" i="19"/>
  <c r="E36" i="19"/>
  <c r="G36" i="19" s="1"/>
  <c r="E35" i="19"/>
  <c r="G35" i="19" s="1"/>
  <c r="E34" i="19"/>
  <c r="G34" i="19" s="1"/>
  <c r="E33" i="19"/>
  <c r="G33" i="19"/>
  <c r="E14" i="24"/>
  <c r="E13" i="24"/>
  <c r="E12" i="24"/>
  <c r="E11" i="24"/>
  <c r="E10" i="24"/>
  <c r="E9" i="24"/>
  <c r="E7" i="24"/>
  <c r="E6" i="24"/>
  <c r="S1" i="24"/>
  <c r="R1" i="24"/>
  <c r="K79" i="16"/>
  <c r="F78" i="17"/>
  <c r="W91" i="20"/>
  <c r="U91" i="20"/>
  <c r="T91" i="20"/>
  <c r="X91" i="20"/>
  <c r="Y91" i="20" s="1"/>
  <c r="I91" i="20"/>
  <c r="W92" i="20"/>
  <c r="U92" i="20"/>
  <c r="T92" i="20"/>
  <c r="X92" i="20"/>
  <c r="Y92" i="20" s="1"/>
  <c r="I92" i="20"/>
  <c r="W90" i="20"/>
  <c r="U90" i="20"/>
  <c r="T90" i="20"/>
  <c r="X90" i="20"/>
  <c r="Y90" i="20" s="1"/>
  <c r="I90" i="20"/>
  <c r="W89" i="20"/>
  <c r="U89" i="20"/>
  <c r="T89" i="20"/>
  <c r="X89" i="20"/>
  <c r="Y89" i="20" s="1"/>
  <c r="I89" i="20"/>
  <c r="W88" i="20"/>
  <c r="U88" i="20"/>
  <c r="T88" i="20"/>
  <c r="X88" i="20"/>
  <c r="Y88" i="20" s="1"/>
  <c r="I88" i="20"/>
  <c r="W87" i="20"/>
  <c r="U87" i="20"/>
  <c r="T87" i="20"/>
  <c r="X87" i="20"/>
  <c r="Y87" i="20" s="1"/>
  <c r="I87" i="20"/>
  <c r="W86" i="20"/>
  <c r="U86" i="20"/>
  <c r="T86" i="20"/>
  <c r="X86" i="20"/>
  <c r="Y86" i="20" s="1"/>
  <c r="I86" i="20"/>
  <c r="E29" i="19"/>
  <c r="G29" i="19"/>
  <c r="G32" i="19"/>
  <c r="G31" i="19"/>
  <c r="G30" i="19"/>
  <c r="W85" i="20"/>
  <c r="U85" i="20"/>
  <c r="T85" i="20"/>
  <c r="X85" i="20" s="1"/>
  <c r="Y85" i="20" s="1"/>
  <c r="I85" i="20"/>
  <c r="W84" i="20"/>
  <c r="U84" i="20"/>
  <c r="T84" i="20"/>
  <c r="X84" i="20" s="1"/>
  <c r="Y84" i="20" s="1"/>
  <c r="I84" i="20"/>
  <c r="I67" i="16"/>
  <c r="K67" i="16" s="1"/>
  <c r="E27" i="19"/>
  <c r="G27" i="19"/>
  <c r="F110" i="17"/>
  <c r="T83" i="20"/>
  <c r="X83" i="20" s="1"/>
  <c r="Y83" i="20" s="1"/>
  <c r="I83" i="20"/>
  <c r="U83" i="20"/>
  <c r="W82" i="20"/>
  <c r="U82" i="20"/>
  <c r="T82" i="20"/>
  <c r="X82" i="20"/>
  <c r="Y82" i="20" s="1"/>
  <c r="I82" i="20"/>
  <c r="T81" i="20"/>
  <c r="X81" i="20"/>
  <c r="Y81" i="20" s="1"/>
  <c r="I81" i="20"/>
  <c r="U81" i="20"/>
  <c r="T80" i="20"/>
  <c r="X80" i="20" s="1"/>
  <c r="Y80" i="20" s="1"/>
  <c r="U80" i="20"/>
  <c r="I80" i="20"/>
  <c r="E26" i="19"/>
  <c r="G26" i="19"/>
  <c r="W83" i="20"/>
  <c r="W81" i="20"/>
  <c r="W80" i="20"/>
  <c r="E6" i="23"/>
  <c r="E4" i="23"/>
  <c r="E7" i="23"/>
  <c r="E8" i="23"/>
  <c r="E9" i="23"/>
  <c r="E5" i="23"/>
  <c r="R1" i="23"/>
  <c r="Q1" i="23"/>
  <c r="F99" i="17"/>
  <c r="F98" i="17"/>
  <c r="F97" i="17"/>
  <c r="F93" i="17"/>
  <c r="F91" i="17"/>
  <c r="F90" i="17"/>
  <c r="F88" i="17"/>
  <c r="W83" i="21"/>
  <c r="X83" i="21"/>
  <c r="W66" i="21"/>
  <c r="X66" i="21"/>
  <c r="W88" i="21"/>
  <c r="X88" i="21"/>
  <c r="W96" i="21"/>
  <c r="X96" i="21"/>
  <c r="W92" i="21"/>
  <c r="X92" i="21"/>
  <c r="X45" i="21"/>
  <c r="W45" i="21"/>
  <c r="W35" i="21"/>
  <c r="X35" i="21"/>
  <c r="W22" i="21"/>
  <c r="X22" i="21"/>
  <c r="W31" i="21"/>
  <c r="X31" i="21"/>
  <c r="W5" i="21"/>
  <c r="X5" i="21"/>
  <c r="W17" i="21"/>
  <c r="X17" i="21"/>
  <c r="O81" i="21"/>
  <c r="P74" i="21"/>
  <c r="Q74" i="21" s="1"/>
  <c r="N81" i="21"/>
  <c r="W14" i="21"/>
  <c r="X14" i="21"/>
  <c r="X2" i="21"/>
  <c r="X9" i="21"/>
  <c r="X12" i="21"/>
  <c r="AB1" i="21" s="1"/>
  <c r="X28" i="21"/>
  <c r="X47" i="21"/>
  <c r="X50" i="21"/>
  <c r="W2" i="21"/>
  <c r="W47" i="21"/>
  <c r="W9" i="21"/>
  <c r="W28" i="21"/>
  <c r="W50" i="21"/>
  <c r="E22" i="19"/>
  <c r="G22" i="19" s="1"/>
  <c r="E21" i="19"/>
  <c r="G21" i="19"/>
  <c r="E20" i="19"/>
  <c r="G20" i="19"/>
  <c r="W79" i="20"/>
  <c r="U79" i="20"/>
  <c r="T79" i="20"/>
  <c r="X79" i="20"/>
  <c r="Y79" i="20" s="1"/>
  <c r="I79" i="20"/>
  <c r="E25" i="18"/>
  <c r="E24" i="18"/>
  <c r="E19" i="19"/>
  <c r="G19" i="19"/>
  <c r="E18" i="19"/>
  <c r="G18" i="19"/>
  <c r="S6" i="20"/>
  <c r="S5" i="20"/>
  <c r="S4" i="20"/>
  <c r="S3" i="20"/>
  <c r="S2" i="20"/>
  <c r="T8" i="20"/>
  <c r="X8" i="20" s="1"/>
  <c r="Y8" i="20" s="1"/>
  <c r="T9" i="20"/>
  <c r="X9" i="20"/>
  <c r="Y9" i="20" s="1"/>
  <c r="T10" i="20"/>
  <c r="X10" i="20" s="1"/>
  <c r="Y10" i="20" s="1"/>
  <c r="T11" i="20"/>
  <c r="X11" i="20"/>
  <c r="Y11" i="20" s="1"/>
  <c r="T12" i="20"/>
  <c r="X12" i="20" s="1"/>
  <c r="Y12" i="20" s="1"/>
  <c r="T13" i="20"/>
  <c r="X13" i="20"/>
  <c r="Y13" i="20" s="1"/>
  <c r="T14" i="20"/>
  <c r="X14" i="20" s="1"/>
  <c r="Y14" i="20" s="1"/>
  <c r="T15" i="20"/>
  <c r="X15" i="20"/>
  <c r="Y15" i="20" s="1"/>
  <c r="T16" i="20"/>
  <c r="X16" i="20" s="1"/>
  <c r="Y16" i="20" s="1"/>
  <c r="T17" i="20"/>
  <c r="X17" i="20"/>
  <c r="Y17" i="20" s="1"/>
  <c r="T18" i="20"/>
  <c r="X18" i="20" s="1"/>
  <c r="Y18" i="20" s="1"/>
  <c r="T19" i="20"/>
  <c r="X19" i="20"/>
  <c r="Y19" i="20" s="1"/>
  <c r="T20" i="20"/>
  <c r="X20" i="20" s="1"/>
  <c r="Y20" i="20" s="1"/>
  <c r="T21" i="20"/>
  <c r="X21" i="20"/>
  <c r="Y21" i="20" s="1"/>
  <c r="T22" i="20"/>
  <c r="X22" i="20" s="1"/>
  <c r="Y22" i="20" s="1"/>
  <c r="T23" i="20"/>
  <c r="X23" i="20"/>
  <c r="Y23" i="20" s="1"/>
  <c r="T24" i="20"/>
  <c r="X24" i="20" s="1"/>
  <c r="Y24" i="20" s="1"/>
  <c r="T25" i="20"/>
  <c r="X25" i="20"/>
  <c r="Y25" i="20" s="1"/>
  <c r="T26" i="20"/>
  <c r="X26" i="20" s="1"/>
  <c r="Y26" i="20" s="1"/>
  <c r="T27" i="20"/>
  <c r="X27" i="20"/>
  <c r="Y27" i="20" s="1"/>
  <c r="T28" i="20"/>
  <c r="X28" i="20" s="1"/>
  <c r="Y28" i="20" s="1"/>
  <c r="T29" i="20"/>
  <c r="X29" i="20"/>
  <c r="Y29" i="20" s="1"/>
  <c r="T30" i="20"/>
  <c r="X30" i="20" s="1"/>
  <c r="Y30" i="20" s="1"/>
  <c r="T31" i="20"/>
  <c r="X31" i="20"/>
  <c r="Y31" i="20" s="1"/>
  <c r="T32" i="20"/>
  <c r="X32" i="20" s="1"/>
  <c r="Y32" i="20" s="1"/>
  <c r="T33" i="20"/>
  <c r="X33" i="20"/>
  <c r="Y33" i="20" s="1"/>
  <c r="T34" i="20"/>
  <c r="X34" i="20" s="1"/>
  <c r="Y34" i="20" s="1"/>
  <c r="T35" i="20"/>
  <c r="X35" i="20"/>
  <c r="Y35" i="20" s="1"/>
  <c r="T36" i="20"/>
  <c r="X36" i="20" s="1"/>
  <c r="Y36" i="20" s="1"/>
  <c r="T37" i="20"/>
  <c r="X37" i="20"/>
  <c r="Y37" i="20" s="1"/>
  <c r="T38" i="20"/>
  <c r="X38" i="20" s="1"/>
  <c r="Y38" i="20" s="1"/>
  <c r="T39" i="20"/>
  <c r="X39" i="20"/>
  <c r="Y39" i="20" s="1"/>
  <c r="T40" i="20"/>
  <c r="X40" i="20" s="1"/>
  <c r="Y40" i="20" s="1"/>
  <c r="T41" i="20"/>
  <c r="X41" i="20"/>
  <c r="Y41" i="20" s="1"/>
  <c r="T42" i="20"/>
  <c r="X42" i="20" s="1"/>
  <c r="Y42" i="20" s="1"/>
  <c r="T43" i="20"/>
  <c r="X43" i="20"/>
  <c r="Y43" i="20" s="1"/>
  <c r="T44" i="20"/>
  <c r="X44" i="20" s="1"/>
  <c r="Y44" i="20" s="1"/>
  <c r="T45" i="20"/>
  <c r="X45" i="20"/>
  <c r="Y45" i="20" s="1"/>
  <c r="T46" i="20"/>
  <c r="X46" i="20" s="1"/>
  <c r="Y46" i="20" s="1"/>
  <c r="T47" i="20"/>
  <c r="X47" i="20"/>
  <c r="Y47" i="20" s="1"/>
  <c r="T48" i="20"/>
  <c r="X48" i="20" s="1"/>
  <c r="Y48" i="20" s="1"/>
  <c r="T49" i="20"/>
  <c r="X49" i="20"/>
  <c r="Y49" i="20" s="1"/>
  <c r="T50" i="20"/>
  <c r="X50" i="20" s="1"/>
  <c r="Y50" i="20" s="1"/>
  <c r="T51" i="20"/>
  <c r="X51" i="20"/>
  <c r="Y51" i="20" s="1"/>
  <c r="T52" i="20"/>
  <c r="X52" i="20" s="1"/>
  <c r="Y52" i="20" s="1"/>
  <c r="T53" i="20"/>
  <c r="X53" i="20"/>
  <c r="Y53" i="20" s="1"/>
  <c r="T54" i="20"/>
  <c r="X54" i="20" s="1"/>
  <c r="Y54" i="20" s="1"/>
  <c r="T55" i="20"/>
  <c r="X55" i="20"/>
  <c r="Y55" i="20" s="1"/>
  <c r="T56" i="20"/>
  <c r="X56" i="20" s="1"/>
  <c r="Y56" i="20" s="1"/>
  <c r="T57" i="20"/>
  <c r="X57" i="20"/>
  <c r="Y57" i="20" s="1"/>
  <c r="T58" i="20"/>
  <c r="X58" i="20" s="1"/>
  <c r="Y58" i="20" s="1"/>
  <c r="T59" i="20"/>
  <c r="X59" i="20"/>
  <c r="Y59" i="20" s="1"/>
  <c r="T60" i="20"/>
  <c r="X60" i="20" s="1"/>
  <c r="Y60" i="20" s="1"/>
  <c r="T61" i="20"/>
  <c r="X61" i="20"/>
  <c r="Y61" i="20" s="1"/>
  <c r="T62" i="20"/>
  <c r="X62" i="20" s="1"/>
  <c r="Y62" i="20" s="1"/>
  <c r="T63" i="20"/>
  <c r="X63" i="20"/>
  <c r="Y63" i="20" s="1"/>
  <c r="T64" i="20"/>
  <c r="X64" i="20" s="1"/>
  <c r="Y64" i="20" s="1"/>
  <c r="T65" i="20"/>
  <c r="X65" i="20"/>
  <c r="Y65" i="20" s="1"/>
  <c r="T66" i="20"/>
  <c r="X66" i="20" s="1"/>
  <c r="Y66" i="20" s="1"/>
  <c r="T67" i="20"/>
  <c r="X67" i="20"/>
  <c r="Y67" i="20" s="1"/>
  <c r="T68" i="20"/>
  <c r="X68" i="20" s="1"/>
  <c r="Y68" i="20" s="1"/>
  <c r="T69" i="20"/>
  <c r="X69" i="20"/>
  <c r="Y69" i="20" s="1"/>
  <c r="T70" i="20"/>
  <c r="X70" i="20" s="1"/>
  <c r="Y70" i="20" s="1"/>
  <c r="T71" i="20"/>
  <c r="X71" i="20"/>
  <c r="Y71" i="20" s="1"/>
  <c r="T72" i="20"/>
  <c r="X72" i="20" s="1"/>
  <c r="Y72" i="20" s="1"/>
  <c r="T73" i="20"/>
  <c r="X73" i="20"/>
  <c r="Y73" i="20" s="1"/>
  <c r="T74" i="20"/>
  <c r="X74" i="20" s="1"/>
  <c r="Y74" i="20" s="1"/>
  <c r="T75" i="20"/>
  <c r="X75" i="20"/>
  <c r="Y75" i="20" s="1"/>
  <c r="T76" i="20"/>
  <c r="X76" i="20" s="1"/>
  <c r="Y76" i="20" s="1"/>
  <c r="T77" i="20"/>
  <c r="X77" i="20"/>
  <c r="Y77" i="20" s="1"/>
  <c r="T78" i="20"/>
  <c r="X78" i="20" s="1"/>
  <c r="Y78" i="20" s="1"/>
  <c r="T2" i="20"/>
  <c r="X2" i="20"/>
  <c r="Y2" i="20" s="1"/>
  <c r="T3" i="20"/>
  <c r="T4" i="20"/>
  <c r="X4" i="20"/>
  <c r="Y4" i="20" s="1"/>
  <c r="T5" i="20"/>
  <c r="T6" i="20"/>
  <c r="X6" i="20"/>
  <c r="Y6" i="20" s="1"/>
  <c r="T7" i="20"/>
  <c r="X7" i="20" s="1"/>
  <c r="Y7" i="20" s="1"/>
  <c r="W31" i="20"/>
  <c r="U31" i="20"/>
  <c r="I31" i="20"/>
  <c r="I32" i="20"/>
  <c r="U32" i="20"/>
  <c r="W32" i="20"/>
  <c r="W30" i="20"/>
  <c r="U30" i="20"/>
  <c r="I30" i="20"/>
  <c r="W29" i="20"/>
  <c r="U29" i="20"/>
  <c r="I29" i="20"/>
  <c r="W28" i="20"/>
  <c r="U28" i="20"/>
  <c r="I28" i="20"/>
  <c r="W78" i="20"/>
  <c r="W77" i="20"/>
  <c r="W76" i="20"/>
  <c r="W75" i="20"/>
  <c r="W74" i="20"/>
  <c r="W73" i="20"/>
  <c r="W72" i="20"/>
  <c r="W71" i="20"/>
  <c r="W70" i="20"/>
  <c r="W69" i="20"/>
  <c r="W68" i="20"/>
  <c r="W67" i="20"/>
  <c r="W66" i="20"/>
  <c r="W65" i="20"/>
  <c r="W64" i="20"/>
  <c r="W63" i="20"/>
  <c r="W62" i="20"/>
  <c r="W61" i="20"/>
  <c r="W60" i="20"/>
  <c r="W59" i="20"/>
  <c r="W58" i="20"/>
  <c r="W57" i="20"/>
  <c r="W56" i="20"/>
  <c r="W55" i="20"/>
  <c r="W54" i="20"/>
  <c r="W53" i="20"/>
  <c r="W52" i="20"/>
  <c r="W51" i="20"/>
  <c r="W50" i="20"/>
  <c r="W49" i="20"/>
  <c r="W48" i="20"/>
  <c r="W47" i="20"/>
  <c r="W46" i="20"/>
  <c r="W45" i="20"/>
  <c r="W44" i="20"/>
  <c r="W43" i="20"/>
  <c r="W42" i="20"/>
  <c r="W41" i="20"/>
  <c r="W40" i="20"/>
  <c r="W39" i="20"/>
  <c r="W38" i="20"/>
  <c r="W37" i="20"/>
  <c r="W36" i="20"/>
  <c r="W35" i="20"/>
  <c r="W34" i="20"/>
  <c r="W33" i="20"/>
  <c r="W27" i="20"/>
  <c r="W26" i="20"/>
  <c r="W25" i="20"/>
  <c r="W24" i="20"/>
  <c r="W23" i="20"/>
  <c r="W22" i="20"/>
  <c r="W21" i="20"/>
  <c r="W20" i="20"/>
  <c r="W19" i="20"/>
  <c r="W18" i="20"/>
  <c r="W17" i="20"/>
  <c r="W16" i="20"/>
  <c r="W15" i="20"/>
  <c r="W14" i="20"/>
  <c r="W13" i="20"/>
  <c r="W12" i="20"/>
  <c r="W11" i="20"/>
  <c r="W10" i="20"/>
  <c r="W9" i="20"/>
  <c r="W8" i="20"/>
  <c r="W7" i="20"/>
  <c r="W6" i="20"/>
  <c r="W5" i="20"/>
  <c r="W4" i="20"/>
  <c r="W3" i="20"/>
  <c r="W2" i="20"/>
  <c r="U2" i="20"/>
  <c r="U3" i="20"/>
  <c r="U4" i="20"/>
  <c r="U5" i="20"/>
  <c r="U6" i="20"/>
  <c r="U78" i="20"/>
  <c r="U77" i="20"/>
  <c r="U76" i="20"/>
  <c r="U75" i="20"/>
  <c r="U74" i="20"/>
  <c r="U73" i="20"/>
  <c r="U72" i="20"/>
  <c r="U71" i="20"/>
  <c r="U70" i="20"/>
  <c r="U69" i="20"/>
  <c r="U68" i="20"/>
  <c r="U67" i="20"/>
  <c r="U66" i="20"/>
  <c r="U65" i="20"/>
  <c r="U64" i="20"/>
  <c r="U63" i="20"/>
  <c r="U62" i="20"/>
  <c r="U61" i="20"/>
  <c r="U60" i="20"/>
  <c r="U59" i="20"/>
  <c r="U58" i="20"/>
  <c r="U57" i="20"/>
  <c r="U56" i="20"/>
  <c r="U55" i="20"/>
  <c r="U54" i="20"/>
  <c r="U53" i="20"/>
  <c r="U52" i="20"/>
  <c r="U51" i="20"/>
  <c r="U50" i="20"/>
  <c r="U49" i="20"/>
  <c r="U48" i="20"/>
  <c r="U47" i="20"/>
  <c r="U46" i="20"/>
  <c r="U45" i="20"/>
  <c r="U44" i="20"/>
  <c r="U43" i="20"/>
  <c r="U42" i="20"/>
  <c r="U41" i="20"/>
  <c r="U40" i="20"/>
  <c r="U39" i="20"/>
  <c r="U38" i="20"/>
  <c r="U37" i="20"/>
  <c r="U36" i="20"/>
  <c r="U35" i="20"/>
  <c r="U34" i="20"/>
  <c r="U33" i="20"/>
  <c r="U27" i="20"/>
  <c r="U26" i="20"/>
  <c r="U25" i="20"/>
  <c r="U24" i="20"/>
  <c r="U23" i="20"/>
  <c r="U22" i="20"/>
  <c r="U21" i="20"/>
  <c r="U20" i="20"/>
  <c r="U19" i="20"/>
  <c r="U18" i="20"/>
  <c r="U17" i="20"/>
  <c r="U16" i="20"/>
  <c r="U15" i="20"/>
  <c r="U14" i="20"/>
  <c r="U13" i="20"/>
  <c r="U12" i="20"/>
  <c r="U11" i="20"/>
  <c r="U10" i="20"/>
  <c r="U9" i="20"/>
  <c r="U7" i="20"/>
  <c r="U8" i="20"/>
  <c r="I78" i="20"/>
  <c r="I74" i="20"/>
  <c r="I70" i="20"/>
  <c r="T79" i="21"/>
  <c r="O79" i="21"/>
  <c r="N79" i="21"/>
  <c r="P79" i="21" s="1"/>
  <c r="Q79" i="21" s="1"/>
  <c r="O77" i="21"/>
  <c r="N77" i="21"/>
  <c r="O76" i="21"/>
  <c r="N76" i="21"/>
  <c r="N75" i="21"/>
  <c r="P75" i="21" s="1"/>
  <c r="Q75" i="21" s="1"/>
  <c r="N78" i="21"/>
  <c r="O78" i="21"/>
  <c r="O80" i="21"/>
  <c r="N80" i="21"/>
  <c r="P80" i="21"/>
  <c r="I53" i="20"/>
  <c r="I49" i="20"/>
  <c r="I47" i="20"/>
  <c r="I46" i="20"/>
  <c r="I42" i="20"/>
  <c r="I40" i="20"/>
  <c r="I39" i="20"/>
  <c r="I37" i="20"/>
  <c r="I55" i="20"/>
  <c r="I54" i="20"/>
  <c r="I52" i="20"/>
  <c r="I51" i="20"/>
  <c r="I50" i="20"/>
  <c r="I48" i="20"/>
  <c r="I45" i="20"/>
  <c r="I44" i="20"/>
  <c r="I43" i="20"/>
  <c r="I41" i="20"/>
  <c r="I38" i="20"/>
  <c r="I36" i="20"/>
  <c r="I57" i="20"/>
  <c r="I56" i="20"/>
  <c r="I35" i="20"/>
  <c r="T42" i="21"/>
  <c r="G116" i="21"/>
  <c r="G115" i="21"/>
  <c r="G114" i="21"/>
  <c r="G113" i="21"/>
  <c r="W12" i="21"/>
  <c r="AA1" i="21"/>
  <c r="I58" i="20"/>
  <c r="I24" i="20"/>
  <c r="I23" i="20"/>
  <c r="I20" i="20"/>
  <c r="I19" i="20"/>
  <c r="I12" i="20"/>
  <c r="I10" i="20"/>
  <c r="I27" i="20"/>
  <c r="I26" i="20"/>
  <c r="I25" i="20"/>
  <c r="I22" i="20"/>
  <c r="I21" i="20"/>
  <c r="I18" i="20"/>
  <c r="I17" i="20"/>
  <c r="I16" i="20"/>
  <c r="I15" i="20"/>
  <c r="I14" i="20"/>
  <c r="I13" i="20"/>
  <c r="I11" i="20"/>
  <c r="I9" i="20"/>
  <c r="I8" i="20"/>
  <c r="I7" i="20"/>
  <c r="I6" i="20"/>
  <c r="I5" i="20"/>
  <c r="I4" i="20"/>
  <c r="I3" i="20"/>
  <c r="I2" i="20"/>
  <c r="I77" i="20"/>
  <c r="I76" i="20"/>
  <c r="I75" i="20"/>
  <c r="I73" i="20"/>
  <c r="I72" i="20"/>
  <c r="I67" i="20"/>
  <c r="I65" i="20"/>
  <c r="I64" i="20"/>
  <c r="I68" i="20"/>
  <c r="I66" i="20"/>
  <c r="I63" i="20"/>
  <c r="I62" i="20"/>
  <c r="I61" i="20"/>
  <c r="I60" i="20"/>
  <c r="I59" i="20"/>
  <c r="I71" i="20"/>
  <c r="I69" i="20"/>
  <c r="E3" i="18"/>
  <c r="E4" i="18"/>
  <c r="E14" i="18"/>
  <c r="E13" i="18"/>
  <c r="E12" i="18"/>
  <c r="E11" i="18"/>
  <c r="E5" i="19"/>
  <c r="G5" i="19" s="1"/>
  <c r="E4" i="19"/>
  <c r="G4" i="19" s="1"/>
  <c r="E3" i="19"/>
  <c r="G3" i="19" s="1"/>
  <c r="E2" i="19"/>
  <c r="G2" i="19" s="1"/>
  <c r="E13" i="19"/>
  <c r="G13" i="19" s="1"/>
  <c r="E14" i="19"/>
  <c r="G14" i="19" s="1"/>
  <c r="E17" i="19"/>
  <c r="G17" i="19" s="1"/>
  <c r="E16" i="19"/>
  <c r="G16" i="19" s="1"/>
  <c r="E15" i="19"/>
  <c r="G15" i="19" s="1"/>
  <c r="E12" i="19"/>
  <c r="G12" i="19" s="1"/>
  <c r="E11" i="19"/>
  <c r="G11" i="19" s="1"/>
  <c r="O1" i="19"/>
  <c r="N1" i="19"/>
  <c r="E23" i="18"/>
  <c r="E21" i="18"/>
  <c r="E22" i="18"/>
  <c r="E20" i="18"/>
  <c r="E19" i="18"/>
  <c r="E9" i="18"/>
  <c r="E8" i="18"/>
  <c r="E6" i="18"/>
  <c r="E5" i="18"/>
  <c r="E2" i="18"/>
  <c r="E7" i="18"/>
  <c r="E16" i="18"/>
  <c r="E15" i="18"/>
  <c r="E17" i="18"/>
  <c r="E18" i="18"/>
  <c r="E10" i="18"/>
  <c r="T1" i="18"/>
  <c r="S1" i="18"/>
  <c r="F70" i="17"/>
  <c r="F67" i="17"/>
  <c r="F65" i="17"/>
  <c r="F72" i="17"/>
  <c r="F47" i="17"/>
  <c r="F29" i="17"/>
  <c r="F28" i="17"/>
  <c r="F27" i="17"/>
  <c r="F26" i="17"/>
  <c r="F25" i="17"/>
  <c r="F22" i="17"/>
  <c r="F21" i="17"/>
  <c r="F69" i="17"/>
  <c r="F68" i="17"/>
  <c r="F63" i="17"/>
  <c r="F62" i="17"/>
  <c r="F66" i="17"/>
  <c r="F60" i="17"/>
  <c r="F59" i="17"/>
  <c r="F61" i="17"/>
  <c r="F3" i="17"/>
  <c r="F2" i="17"/>
  <c r="F71" i="17"/>
  <c r="F58" i="17"/>
  <c r="F57" i="17"/>
  <c r="F56" i="17"/>
  <c r="F55" i="17"/>
  <c r="F54" i="17"/>
  <c r="F53" i="17"/>
  <c r="F52" i="17"/>
  <c r="F51" i="17"/>
  <c r="F50" i="17"/>
  <c r="F49" i="17"/>
  <c r="F48" i="17"/>
  <c r="F46" i="17"/>
  <c r="F45" i="17"/>
  <c r="F44" i="17"/>
  <c r="F43" i="17"/>
  <c r="F42" i="17"/>
  <c r="F41" i="17"/>
  <c r="F40" i="17"/>
  <c r="F39" i="17"/>
  <c r="F38" i="17"/>
  <c r="F37" i="17"/>
  <c r="F36" i="17"/>
  <c r="F35" i="17"/>
  <c r="F34" i="17"/>
  <c r="F33" i="17"/>
  <c r="F32" i="17"/>
  <c r="F31" i="17"/>
  <c r="F30" i="17"/>
  <c r="F24" i="17"/>
  <c r="F23" i="17"/>
  <c r="F20" i="17"/>
  <c r="F19" i="17"/>
  <c r="F18" i="17"/>
  <c r="F17" i="17"/>
  <c r="F16" i="17"/>
  <c r="F15" i="17"/>
  <c r="F14" i="17"/>
  <c r="F13" i="17"/>
  <c r="F12" i="17"/>
  <c r="F11" i="17"/>
  <c r="F10" i="17"/>
  <c r="F9" i="17"/>
  <c r="F8" i="17"/>
  <c r="F7" i="17"/>
  <c r="F6" i="17"/>
  <c r="F5" i="17"/>
  <c r="F64" i="17"/>
  <c r="F4" i="17"/>
  <c r="X1" i="17"/>
  <c r="W1" i="17"/>
  <c r="N52" i="16"/>
  <c r="B113" i="8" s="1"/>
  <c r="O52" i="16"/>
  <c r="S1" i="16" s="1"/>
  <c r="K59" i="16"/>
  <c r="K58" i="16"/>
  <c r="K78" i="16"/>
  <c r="K77" i="16"/>
  <c r="K65" i="16"/>
  <c r="I64" i="16"/>
  <c r="K64" i="16" s="1"/>
  <c r="R1" i="16"/>
  <c r="K2" i="16"/>
  <c r="K9" i="16"/>
  <c r="K10" i="16"/>
  <c r="K11" i="16"/>
  <c r="K74" i="16"/>
  <c r="K75" i="16"/>
  <c r="D2" i="8"/>
  <c r="D3" i="8"/>
  <c r="D4" i="8"/>
  <c r="D5" i="8"/>
  <c r="D6" i="8"/>
  <c r="D7" i="8"/>
  <c r="D8" i="8"/>
  <c r="D9" i="8"/>
  <c r="D10" i="8"/>
  <c r="D11" i="8"/>
  <c r="D12" i="8"/>
  <c r="D13" i="8"/>
  <c r="D14" i="8"/>
  <c r="D15" i="8"/>
  <c r="D16" i="8"/>
  <c r="D17" i="8"/>
  <c r="D18" i="8"/>
  <c r="D19" i="8"/>
  <c r="D20" i="8"/>
  <c r="D21" i="8"/>
  <c r="D22" i="8"/>
  <c r="D23" i="8"/>
  <c r="D24" i="8"/>
  <c r="D25" i="8"/>
  <c r="D26" i="8"/>
  <c r="D27" i="8"/>
  <c r="D28" i="8"/>
  <c r="D29" i="8"/>
  <c r="D30" i="8"/>
  <c r="D31" i="8"/>
  <c r="D32" i="8"/>
  <c r="D33" i="8"/>
  <c r="D34" i="8"/>
  <c r="D35" i="8"/>
  <c r="D36" i="8"/>
  <c r="D37" i="8"/>
  <c r="D38" i="8"/>
  <c r="D39" i="8"/>
  <c r="D40" i="8"/>
  <c r="D41" i="8"/>
  <c r="D42" i="8"/>
  <c r="D43" i="8"/>
  <c r="D44" i="8"/>
  <c r="D45" i="8"/>
  <c r="D46" i="8"/>
  <c r="D47" i="8"/>
  <c r="D48" i="8"/>
  <c r="D49" i="8"/>
  <c r="D50" i="8"/>
  <c r="D51" i="8"/>
  <c r="D52" i="8"/>
  <c r="D53" i="8"/>
  <c r="D54" i="8"/>
  <c r="D55" i="8"/>
  <c r="D56" i="8"/>
  <c r="D57" i="8"/>
  <c r="D58" i="8"/>
  <c r="D59" i="8"/>
  <c r="D60" i="8"/>
  <c r="D61" i="8"/>
  <c r="D62" i="8"/>
  <c r="D63" i="8"/>
  <c r="D64" i="8"/>
  <c r="D65" i="8"/>
  <c r="D66" i="8"/>
  <c r="D67" i="8"/>
  <c r="D68" i="8"/>
  <c r="D69" i="8"/>
  <c r="D70" i="8"/>
  <c r="D71" i="8"/>
  <c r="D72" i="8"/>
  <c r="D73" i="8"/>
  <c r="D74" i="8"/>
  <c r="D75" i="8"/>
  <c r="D76" i="8"/>
  <c r="D77" i="8"/>
  <c r="D78" i="8"/>
  <c r="D79" i="8"/>
  <c r="D80" i="8"/>
  <c r="D81" i="8"/>
  <c r="D82" i="8"/>
  <c r="D83" i="8"/>
  <c r="D84" i="8"/>
  <c r="D85" i="8"/>
  <c r="D86" i="8"/>
  <c r="D87" i="8"/>
  <c r="D88" i="8"/>
  <c r="D89" i="8"/>
  <c r="D90" i="8"/>
  <c r="D91" i="8"/>
  <c r="D92" i="8"/>
  <c r="D93" i="8"/>
  <c r="D94" i="8"/>
  <c r="D95" i="8"/>
  <c r="D96" i="8"/>
  <c r="D97" i="8"/>
  <c r="D98" i="8"/>
  <c r="D99" i="8"/>
  <c r="D100" i="8"/>
  <c r="D101" i="8"/>
  <c r="D102" i="8"/>
  <c r="D103" i="8"/>
  <c r="D104" i="8"/>
  <c r="D105" i="8"/>
  <c r="D106" i="8"/>
  <c r="D107" i="8"/>
  <c r="D108" i="8"/>
  <c r="D109" i="8"/>
  <c r="D110" i="8"/>
  <c r="D111" i="8"/>
  <c r="B112" i="8"/>
  <c r="C112" i="8"/>
  <c r="B114" i="8"/>
  <c r="D114" i="8" s="1"/>
  <c r="C114" i="8"/>
  <c r="B115" i="8"/>
  <c r="D115" i="8" s="1"/>
  <c r="C115" i="8"/>
  <c r="B116" i="8"/>
  <c r="D116" i="8"/>
  <c r="C116" i="8"/>
  <c r="B117" i="8"/>
  <c r="D117" i="8"/>
  <c r="C117" i="8"/>
  <c r="B118" i="8"/>
  <c r="D118" i="8" s="1"/>
  <c r="C118" i="8"/>
  <c r="D119" i="8"/>
  <c r="D120" i="8"/>
  <c r="D121" i="8"/>
  <c r="D122" i="8"/>
  <c r="D123" i="8"/>
  <c r="D124" i="8"/>
  <c r="D125" i="8"/>
  <c r="P81" i="21"/>
  <c r="Q81" i="21" s="1"/>
  <c r="P78" i="21"/>
  <c r="Q78" i="21" s="1"/>
  <c r="X3" i="20"/>
  <c r="Y3" i="20" s="1"/>
  <c r="X5" i="20"/>
  <c r="Y5" i="20"/>
  <c r="P76" i="21"/>
  <c r="Q76" i="21" s="1"/>
  <c r="P77" i="21"/>
  <c r="Q77" i="21" s="1"/>
  <c r="Q80" i="21" l="1"/>
  <c r="D112" i="8"/>
  <c r="C113" i="8"/>
  <c r="D113" i="8" s="1"/>
</calcChain>
</file>

<file path=xl/sharedStrings.xml><?xml version="1.0" encoding="utf-8"?>
<sst xmlns="http://schemas.openxmlformats.org/spreadsheetml/2006/main" count="2011" uniqueCount="835">
  <si>
    <r>
      <t>Imaging</t>
    </r>
    <r>
      <rPr>
        <sz val="10"/>
        <rFont val="Arial"/>
        <family val="2"/>
      </rPr>
      <t>: Accidental capture of asteroid on Sagittarius (M8/M20) image. In SE quadrant in very crowded region.</t>
    </r>
  </si>
  <si>
    <t>Pluto</t>
  </si>
  <si>
    <r>
      <t>~22:00 MDT Imaging</t>
    </r>
    <r>
      <rPr>
        <sz val="10"/>
        <rFont val="Arial"/>
        <family val="2"/>
      </rPr>
      <t>: ST2000 Clear series at 1260mm FL (f/6.3). Binned 2x2. Total exposure 150 sec.</t>
    </r>
  </si>
  <si>
    <t>P9/Tempel1</t>
  </si>
  <si>
    <r>
      <t>Imaging</t>
    </r>
    <r>
      <rPr>
        <sz val="10"/>
        <rFont val="Arial"/>
        <family val="2"/>
      </rPr>
      <t>: Clear ST2000 series at 1260mm (f/6.3). Binned 2x2. Total exposure 10 min.</t>
    </r>
  </si>
  <si>
    <t>Mars</t>
  </si>
  <si>
    <t>4/5</t>
  </si>
  <si>
    <t>2004 Summer</t>
  </si>
  <si>
    <t>2004 Fall</t>
  </si>
  <si>
    <t>2005 Winter</t>
  </si>
  <si>
    <t>2005 Spring</t>
  </si>
  <si>
    <t>2005 Summer</t>
  </si>
  <si>
    <t>Visual</t>
  </si>
  <si>
    <t>Imaging</t>
  </si>
  <si>
    <t>Total</t>
  </si>
  <si>
    <t>1977 Fall</t>
  </si>
  <si>
    <t>1978 Fall</t>
  </si>
  <si>
    <t>1978 Winter</t>
  </si>
  <si>
    <t>1978 Spring</t>
  </si>
  <si>
    <t>1978 Summer</t>
  </si>
  <si>
    <t>1979 Fall</t>
  </si>
  <si>
    <t>1979 Winter</t>
  </si>
  <si>
    <t>1979 Spring</t>
  </si>
  <si>
    <t>1979 Summer</t>
  </si>
  <si>
    <t>1980 Fall</t>
  </si>
  <si>
    <t>1980 Winter</t>
  </si>
  <si>
    <t>1980 Spring</t>
  </si>
  <si>
    <t>1980 Summer</t>
  </si>
  <si>
    <t>1981 Fall</t>
  </si>
  <si>
    <t>1981 Winter</t>
  </si>
  <si>
    <t>1981 Spring</t>
  </si>
  <si>
    <t>1981 Summer</t>
  </si>
  <si>
    <t>1982 Winter</t>
  </si>
  <si>
    <t>1982 Spring</t>
  </si>
  <si>
    <t>1982 Summer</t>
  </si>
  <si>
    <t>1982 Fall</t>
  </si>
  <si>
    <t>1983 Winter</t>
  </si>
  <si>
    <t>1983 Spring</t>
  </si>
  <si>
    <t>1983 Summer</t>
  </si>
  <si>
    <t>1983 Fall</t>
  </si>
  <si>
    <t>1984 Winter</t>
  </si>
  <si>
    <t>1984 Spring</t>
  </si>
  <si>
    <t>1984 Summer</t>
  </si>
  <si>
    <t>1984 Fall</t>
  </si>
  <si>
    <t>1985 Winter</t>
  </si>
  <si>
    <t>1985 Spring</t>
  </si>
  <si>
    <t>1985 Summer</t>
  </si>
  <si>
    <t>1985 Fall</t>
  </si>
  <si>
    <t>1986 Winter</t>
  </si>
  <si>
    <t>1986 Spring</t>
  </si>
  <si>
    <t>1986 Summer</t>
  </si>
  <si>
    <t>1986 Fall</t>
  </si>
  <si>
    <t>1987 Winter</t>
  </si>
  <si>
    <t>1987 Spring</t>
  </si>
  <si>
    <t>1987 Summer</t>
  </si>
  <si>
    <t>1987 Fall</t>
  </si>
  <si>
    <t>1988 Winter</t>
  </si>
  <si>
    <t>1988 Spring</t>
  </si>
  <si>
    <t>1988 Summer</t>
  </si>
  <si>
    <t>1988 Fall</t>
  </si>
  <si>
    <t>1989 Winter</t>
  </si>
  <si>
    <t>1989 Spring</t>
  </si>
  <si>
    <t>1989 Summer</t>
  </si>
  <si>
    <t>1989 Fall</t>
  </si>
  <si>
    <t>1990 Winter</t>
  </si>
  <si>
    <t>1990 Spring</t>
  </si>
  <si>
    <t>1990 Summer</t>
  </si>
  <si>
    <t>1990 Fall</t>
  </si>
  <si>
    <t>1991 Winter</t>
  </si>
  <si>
    <t>1991 Spring</t>
  </si>
  <si>
    <t>1991 Summer</t>
  </si>
  <si>
    <t>1991 Fall</t>
  </si>
  <si>
    <t>1992 Winter</t>
  </si>
  <si>
    <t>1992 Spring</t>
  </si>
  <si>
    <t>1992 Summer</t>
  </si>
  <si>
    <t>1992 Fall</t>
  </si>
  <si>
    <t>1993 Winter</t>
  </si>
  <si>
    <t>1993 Spring</t>
  </si>
  <si>
    <t>1993 Summer</t>
  </si>
  <si>
    <t>1993 Fall</t>
  </si>
  <si>
    <t>1994 Winter</t>
  </si>
  <si>
    <t>1994 Spring</t>
  </si>
  <si>
    <t>1994 Summer</t>
  </si>
  <si>
    <t>1994 Fall</t>
  </si>
  <si>
    <t>1995 Winter</t>
  </si>
  <si>
    <t>1995 Spring</t>
  </si>
  <si>
    <t>1995 Summer</t>
  </si>
  <si>
    <t>1995 Fall</t>
  </si>
  <si>
    <t>1996 Winter</t>
  </si>
  <si>
    <t>1996 Spring</t>
  </si>
  <si>
    <t>1996 Summer</t>
  </si>
  <si>
    <t>1996 Fall</t>
  </si>
  <si>
    <t>1997 Winter</t>
  </si>
  <si>
    <t>1997 Spring</t>
  </si>
  <si>
    <t>1997 Summer</t>
  </si>
  <si>
    <t>1997 Fall</t>
  </si>
  <si>
    <t>1998 Winter</t>
  </si>
  <si>
    <t>1998 Spring</t>
  </si>
  <si>
    <t>1998 Summer</t>
  </si>
  <si>
    <t>1998 Fall</t>
  </si>
  <si>
    <t>1999 Winter</t>
  </si>
  <si>
    <t>1999 Spring</t>
  </si>
  <si>
    <t>1999 Summer</t>
  </si>
  <si>
    <t>1999 Fall</t>
  </si>
  <si>
    <t>2000 Winter</t>
  </si>
  <si>
    <t>2000 Spring</t>
  </si>
  <si>
    <t>2000 Summer</t>
  </si>
  <si>
    <t>2000 Fall</t>
  </si>
  <si>
    <t>2001 Winter</t>
  </si>
  <si>
    <t>2001 Spring</t>
  </si>
  <si>
    <t>2001 Summer</t>
  </si>
  <si>
    <t>2001 Fall</t>
  </si>
  <si>
    <t>2002 Winter</t>
  </si>
  <si>
    <t>2002 Spring</t>
  </si>
  <si>
    <t>2002 Summer</t>
  </si>
  <si>
    <t>2002 Fall</t>
  </si>
  <si>
    <t>2003 Winter</t>
  </si>
  <si>
    <t>2003 Spring</t>
  </si>
  <si>
    <t>2003 Summer</t>
  </si>
  <si>
    <t>2003 Fall</t>
  </si>
  <si>
    <t>2004 Winter</t>
  </si>
  <si>
    <t>2004 Spring</t>
  </si>
  <si>
    <t>2005 Fall</t>
  </si>
  <si>
    <t>2006 Winter</t>
  </si>
  <si>
    <t>2006 Spring</t>
  </si>
  <si>
    <t>2006 Summer</t>
  </si>
  <si>
    <t>2006 Fall</t>
  </si>
  <si>
    <t>2007 Winter</t>
  </si>
  <si>
    <t>2007 Spring</t>
  </si>
  <si>
    <t>2007 Summer</t>
  </si>
  <si>
    <t>2007 Fall</t>
  </si>
  <si>
    <t>Elevation</t>
  </si>
  <si>
    <t>Seeing</t>
  </si>
  <si>
    <t>Planet</t>
  </si>
  <si>
    <t>2004-Dec-18</t>
  </si>
  <si>
    <t>mag/as2</t>
  </si>
  <si>
    <t>2004/Q2 Machholz</t>
  </si>
  <si>
    <t>Comet</t>
  </si>
  <si>
    <r>
      <t>Imaging</t>
    </r>
    <r>
      <rPr>
        <sz val="10"/>
        <rFont val="Arial"/>
        <family val="2"/>
      </rPr>
      <t xml:space="preserve">: Took ST2000 RGB series.  Binned 2x2 with 405mm FL (f/7.5). 
</t>
    </r>
    <r>
      <rPr>
        <u/>
        <sz val="10"/>
        <rFont val="Arial"/>
        <family val="2"/>
      </rPr>
      <t/>
    </r>
  </si>
  <si>
    <r>
      <t>~23:00 MST Imaging</t>
    </r>
    <r>
      <rPr>
        <sz val="10"/>
        <rFont val="Arial"/>
        <family val="2"/>
      </rPr>
      <t xml:space="preserve">: Took ST2000 RGB series.  Stacked multiple images.  Binned 1x1(?) with 2000mm EFL (f/10). Resolution appeared to be equivalent to 2.0" unobstructed aperture equivalent or about 2.7 arcseconds based on CalSky equivalent image appearance. Equatorial band just detectable.  Cassini Division not detectable. CM 169.1, Inclination : -22.2 (to Earth), -23.1 (to Sun).
</t>
    </r>
    <r>
      <rPr>
        <u/>
        <sz val="10"/>
        <rFont val="Arial"/>
        <family val="2"/>
      </rPr>
      <t/>
    </r>
  </si>
  <si>
    <r>
      <t>Imaging</t>
    </r>
    <r>
      <rPr>
        <sz val="10"/>
        <rFont val="Arial"/>
        <family val="2"/>
      </rPr>
      <t xml:space="preserve">: Took ST2000 Clear series.  Binned 1x1 with 135mm FL (f/2.5). Made into an AVI movie of the comet passing near M45, the Pleiades.  Poor movie because of intermittent, high, thin, clouds.
</t>
    </r>
    <r>
      <rPr>
        <u/>
        <sz val="10"/>
        <rFont val="Arial"/>
        <family val="2"/>
      </rPr>
      <t/>
    </r>
  </si>
  <si>
    <t>Dione</t>
  </si>
  <si>
    <t>Enceladus</t>
  </si>
  <si>
    <t>Tethys</t>
  </si>
  <si>
    <t>Rhea</t>
  </si>
  <si>
    <t>Titan</t>
  </si>
  <si>
    <t>?</t>
  </si>
  <si>
    <r>
      <t>~21:00 MST Imaging</t>
    </r>
    <r>
      <rPr>
        <sz val="10"/>
        <rFont val="Arial"/>
        <family val="2"/>
      </rPr>
      <t xml:space="preserve">: Took ST2000 RGB series.  Stacked 99 individual images.  Binned 1x1 with 5500mm EFL (f/27.5). Resolution appeared to be equivalent to 3.0" unobstructed aperture equivalent or about 1.8 arcseconds based on CalSky equivalent image appearance. Equatorial band and S. polar band clearly very visible.  Cassini Division clear at both ansae. CM 159.9, Inclination : -23.8 (to Earth), -22.5 (to Sun).
</t>
    </r>
    <r>
      <rPr>
        <u/>
        <sz val="10"/>
        <rFont val="Arial"/>
        <family val="2"/>
      </rPr>
      <t/>
    </r>
  </si>
  <si>
    <r>
      <t>Imaging</t>
    </r>
    <r>
      <rPr>
        <sz val="10"/>
        <rFont val="Arial"/>
        <family val="2"/>
      </rPr>
      <t>: Took ST2000 RGB series for a total exposure of 0.2 seconds.  Used Hartman Mask to reduce flux so that CCD wouldn't saturate.</t>
    </r>
  </si>
  <si>
    <r>
      <t>~21:00 MST Imaging</t>
    </r>
    <r>
      <rPr>
        <sz val="10"/>
        <rFont val="Arial"/>
        <family val="2"/>
      </rPr>
      <t xml:space="preserve">: Took Olympus C60 series using afocal projection.  Stacked 50 individual images.  Used 7.5mm EP with Barlow. Resolution appeared to be equivalent to 2.5" unobstructed aperture equivalent or about 2.1 arcseconds based on CalSky equivalent image appearance. Equatorial band just visible.  Cassini Division not detectable. CM 163.0, Inclination : -23.8 (to Earth), -22.4 (to Sun).
</t>
    </r>
    <r>
      <rPr>
        <u/>
        <sz val="10"/>
        <rFont val="Arial"/>
        <family val="2"/>
      </rPr>
      <t/>
    </r>
  </si>
  <si>
    <t>1977 Winter</t>
  </si>
  <si>
    <t>1977 Spring</t>
  </si>
  <si>
    <t>1977 Summer</t>
  </si>
  <si>
    <t>Size1</t>
  </si>
  <si>
    <t>Size2</t>
  </si>
  <si>
    <t>Comments</t>
  </si>
  <si>
    <t>Photo</t>
  </si>
  <si>
    <t>Update</t>
  </si>
  <si>
    <r>
      <t>23:52-00:11 MST Imaging</t>
    </r>
    <r>
      <rPr>
        <sz val="10"/>
        <rFont val="Arial"/>
        <family val="2"/>
      </rPr>
      <t xml:space="preserve">: Took ST2000 RGB series.  Stacked multiple images.  Binned 1x1 with 2000mm EFL (f/10). Resolution appeared to be equivalent to 2.5" unobstructed aperture equivalent or about 2.1 arcseconds based on CalSky equivalent image appearance. Equatorial band visible.  Cassini Division just detectable on west ansa. CM 1.7, Inclination : -22.6 (to Earth), -23.0 (to Sun).
</t>
    </r>
    <r>
      <rPr>
        <u/>
        <sz val="10"/>
        <rFont val="Arial"/>
        <family val="2"/>
      </rPr>
      <t/>
    </r>
  </si>
  <si>
    <r>
      <t>00:13 MST Imaging</t>
    </r>
    <r>
      <rPr>
        <sz val="10"/>
        <rFont val="Arial"/>
        <family val="2"/>
      </rPr>
      <t xml:space="preserve">: Took ST2000 Clear 0.1 sec image to get planet and moons. Binned 1x1 with 2000mm EFL (f/10). Saturn mostly over exposed.
</t>
    </r>
    <r>
      <rPr>
        <u/>
        <sz val="10"/>
        <rFont val="Arial"/>
        <family val="2"/>
      </rPr>
      <t/>
    </r>
  </si>
  <si>
    <r>
      <t>21:06-21:43 MST Imaging</t>
    </r>
    <r>
      <rPr>
        <sz val="10"/>
        <rFont val="Arial"/>
        <family val="2"/>
      </rPr>
      <t xml:space="preserve">: Took ST2000 RGB series.  Binned 1x1 with 135mm FL (f/2.5). 
</t>
    </r>
    <r>
      <rPr>
        <u/>
        <sz val="10"/>
        <rFont val="Arial"/>
        <family val="2"/>
      </rPr>
      <t/>
    </r>
  </si>
  <si>
    <t>Capella</t>
  </si>
  <si>
    <t>1/5</t>
  </si>
  <si>
    <t>Fra Mauro</t>
  </si>
  <si>
    <r>
      <rPr>
        <u/>
        <sz val="10"/>
        <rFont val="Arial"/>
        <family val="2"/>
      </rPr>
      <t>Imaging</t>
    </r>
    <r>
      <rPr>
        <sz val="10"/>
        <rFont val="Arial"/>
        <family val="2"/>
      </rPr>
      <t>: Took  2min(?) total video of region at 5500mm (f/27.5). Seeing 4/5, transparency 5/5.</t>
    </r>
  </si>
  <si>
    <t>Ptolemaeus</t>
  </si>
  <si>
    <r>
      <rPr>
        <u/>
        <sz val="10"/>
        <rFont val="Arial"/>
        <family val="2"/>
      </rPr>
      <t>Imaging</t>
    </r>
    <r>
      <rPr>
        <sz val="10"/>
        <rFont val="Arial"/>
        <family val="2"/>
      </rPr>
      <t>: Took 8min(?) total, two frame video mosaic of region at 5500mm (f/27.5). Seeing 4/5, transparency 5/5.</t>
    </r>
  </si>
  <si>
    <r>
      <t>Imaging</t>
    </r>
    <r>
      <rPr>
        <sz val="10"/>
        <rFont val="Arial"/>
        <family val="2"/>
      </rPr>
      <t>: Took one 6 min video (6x1min) using ToUcam (30fps) with C8 at 5500mm (f/27.5). Exposure was 1/100s and settings were "settings1." First data taken between 9:13 and 9:18pm MDT. Correction to NIST time (+3min) yields an exposure center time of 9:18:30pm MDT. Seeing was 3-4/5 and transparency 5/5.</t>
    </r>
  </si>
  <si>
    <t>Mercury</t>
  </si>
  <si>
    <t>1977-Mar-29 00:00</t>
  </si>
  <si>
    <t>2005-Jun-29 00:00</t>
  </si>
  <si>
    <t>2008-May-09 00:00</t>
  </si>
  <si>
    <t>2008-May-11 00:00</t>
  </si>
  <si>
    <r>
      <t>Imaging</t>
    </r>
    <r>
      <rPr>
        <sz val="10"/>
        <rFont val="Arial"/>
        <family val="2"/>
      </rPr>
      <t>: Took one 5 min video (5x1min) using ToUcam (30fps) with C8 at 5500mm (f/27.5). Mean time of exposure was 8:50pm MDT.</t>
    </r>
  </si>
  <si>
    <r>
      <t>Visual</t>
    </r>
    <r>
      <rPr>
        <sz val="10"/>
        <rFont val="Arial"/>
        <family val="2"/>
      </rPr>
      <t>: 10x50 binocs and unaided.</t>
    </r>
  </si>
  <si>
    <r>
      <t>Visual</t>
    </r>
    <r>
      <rPr>
        <sz val="10"/>
        <rFont val="Arial"/>
        <family val="2"/>
      </rPr>
      <t>: 10x50 binocs and unaided. Attempting to verify visibility from driveway for imaging with C8 on this apparition.</t>
    </r>
  </si>
  <si>
    <r>
      <t>Visual</t>
    </r>
    <r>
      <rPr>
        <sz val="10"/>
        <rFont val="Arial"/>
        <family val="2"/>
      </rPr>
      <t>: From Lemon Lodge in Grand Lake.</t>
    </r>
  </si>
  <si>
    <r>
      <t>Visual</t>
    </r>
    <r>
      <rPr>
        <sz val="10"/>
        <rFont val="Arial"/>
        <family val="2"/>
      </rPr>
      <t>: From front porch in St. Clair Shores, Michigan.</t>
    </r>
  </si>
  <si>
    <t>Position</t>
  </si>
  <si>
    <t>2008-May-17 00:00</t>
  </si>
  <si>
    <r>
      <t>Imaging</t>
    </r>
    <r>
      <rPr>
        <sz val="10"/>
        <rFont val="Arial"/>
        <family val="2"/>
      </rPr>
      <t>: Took one good 6 min video (6x1min) using ToUcam (30fps) with C8 at 5500mm (f/27.5). Mean time of exposure was 8:48:30pm MDT. Threw away additional files due to bad focus or over exposure. Shot through high clouds.</t>
    </r>
  </si>
  <si>
    <t>Arago and domes</t>
  </si>
  <si>
    <t>Mare, craters, rimae, domes</t>
  </si>
  <si>
    <t>Gibbous mosaic</t>
  </si>
  <si>
    <r>
      <t>Imaging</t>
    </r>
    <r>
      <rPr>
        <sz val="10"/>
        <rFont val="Arial"/>
        <family val="2"/>
      </rPr>
      <t xml:space="preserve">. Unsuccessfully attempted imaging using C8 and ToUcam 840k. Was able to see nearby 7.2mV star (HD205829) on K3CCD display video.  But, Neptune was both fainter and larger. It apparently exceeded the capabilities of the rig being used.   </t>
    </r>
  </si>
  <si>
    <r>
      <t>Visual</t>
    </r>
    <r>
      <rPr>
        <sz val="10"/>
        <rFont val="Arial"/>
        <family val="2"/>
      </rPr>
      <t>. Neptune was easily visible in 10x50 binocs and was visible through C8 finderscope.  Nathan, Shira, Noah, and I observed Neptune in the C8 at 50x (40mm EP).  It was a tiny green-blue dot.  The seeing was good enough (3.5/5) that scintillation was not particularly helpful in distinguishing it from nearby stars.  Fortunately it was the brightest source in the eyepiece and had that unique color so it was easy for the kids to pick out.</t>
    </r>
  </si>
  <si>
    <r>
      <t>Visual</t>
    </r>
    <r>
      <rPr>
        <sz val="10"/>
        <rFont val="Arial"/>
        <family val="2"/>
      </rPr>
      <t>. Uranus was easily visible very close to 96 Aqr in 10x50 binocs and the C8 finder.  Shira, Nathan, Noah, Robyn and I observed the planet as a small greenish-blue dot at low magnification (50x) in the C8.  It's "companion" star was in the same field.  Asked which was the planet and which was the star, it was hard to tell.  Steady skies made the distinction difficult at low power.</t>
    </r>
  </si>
  <si>
    <r>
      <t>Imaging</t>
    </r>
    <r>
      <rPr>
        <sz val="10"/>
        <rFont val="Arial"/>
        <family val="2"/>
      </rPr>
      <t>. Took three video series of Uranus using the C8 at 5500mm (f/27.5) and the ToUcam 840.  The first series was 5 min (5x1min) using one set of camera settings.  The settings were changed and another 5 min (5x1min) of data were taken.  I slewed to 96 Aqr to check focus and found it less than optimal. After refocusing I took 1min of data on 96 Aqr.  I slewed back to Uranus and took 10 min (10x1min) of data.  Darks were taken for both sets of camera settings. Seeing was quite good (3.5/5) and transparency was 4/5.</t>
    </r>
  </si>
  <si>
    <t>Eris</t>
  </si>
  <si>
    <t>Kuiper Belt Object</t>
  </si>
  <si>
    <r>
      <t>Imaging</t>
    </r>
    <r>
      <rPr>
        <sz val="10"/>
        <rFont val="Arial"/>
        <family val="2"/>
      </rPr>
      <t>: Took 60 min clear image series (4x15min) with ST2000 and C8 at 1260mm (f/6.3). Tccd=-25C (no fan). Transparency ~4/5, Seeing 3/5. Guiding errors were about +/-0.9 pixels in both axes.</t>
    </r>
  </si>
  <si>
    <t>8P/Tuttle</t>
  </si>
  <si>
    <t>17P/Holmes</t>
  </si>
  <si>
    <t>General</t>
  </si>
  <si>
    <t xml:space="preserve">144P/Kushida </t>
  </si>
  <si>
    <r>
      <t>General</t>
    </r>
    <r>
      <rPr>
        <sz val="10"/>
        <rFont val="Arial"/>
        <family val="2"/>
      </rPr>
      <t>: Good target in Jan 2009. Mag 11.</t>
    </r>
  </si>
  <si>
    <t>Crater</t>
  </si>
  <si>
    <t>2/5</t>
  </si>
  <si>
    <t>Mountain</t>
  </si>
  <si>
    <t>Body Type</t>
  </si>
  <si>
    <t>Montes Teneriffe</t>
  </si>
  <si>
    <t>Mountain Range</t>
  </si>
  <si>
    <t>Mons Pico</t>
  </si>
  <si>
    <t>Plato</t>
  </si>
  <si>
    <t>Body Name</t>
  </si>
  <si>
    <t>Tycho</t>
  </si>
  <si>
    <t>26x26km, 2400m height</t>
  </si>
  <si>
    <t>114x14 km, 1450m height</t>
  </si>
  <si>
    <t>88x88km, 4800m height</t>
  </si>
  <si>
    <t>2005-Dec-14</t>
  </si>
  <si>
    <t>Star</t>
  </si>
  <si>
    <t>3/5</t>
  </si>
  <si>
    <r>
      <t>Imaging</t>
    </r>
    <r>
      <rPr>
        <sz val="10"/>
        <rFont val="Arial"/>
        <family val="2"/>
      </rPr>
      <t>: Took six 20sec AVI videos using ToUcam and K3CCDTools.  Total duration 120 seconds.  30 fps, 1/25 sec exp., and gain set to high.  Could barely see Saturn to focus on the display.  Next time I should record the light meter level.  FL=10000mm (f/50). Full 640x480 frame resolution.  Extensive processing is needed because of background striping that I attribute to the high gain setting (need to take a good dark frame next time).</t>
    </r>
  </si>
  <si>
    <t>Full Moon</t>
  </si>
  <si>
    <t>Whole Disk</t>
  </si>
  <si>
    <t>Feature Type(s)</t>
  </si>
  <si>
    <t>Feature Name(s)</t>
  </si>
  <si>
    <t>Theophilus</t>
  </si>
  <si>
    <t>Dorsa Smirnov</t>
  </si>
  <si>
    <t>Wrinkle Ridge</t>
  </si>
  <si>
    <t>Rima Hyginus</t>
  </si>
  <si>
    <t>Mons Rumker</t>
  </si>
  <si>
    <t>Dome/Volcano</t>
  </si>
  <si>
    <t>Vallis Schroter</t>
  </si>
  <si>
    <t>Rille</t>
  </si>
  <si>
    <t>Schickard</t>
  </si>
  <si>
    <t>Mare Nubium</t>
  </si>
  <si>
    <t>Mare Imbrium</t>
  </si>
  <si>
    <t>Mare Serenitatis and Mare Tranquilitatis</t>
  </si>
  <si>
    <t>6x20sec + dark frame.  Seeing 3/5. Trans. 4/5.</t>
  </si>
  <si>
    <r>
      <t>Imaging</t>
    </r>
    <r>
      <rPr>
        <sz val="10"/>
        <rFont val="Arial"/>
        <family val="2"/>
      </rPr>
      <t>: Transparency was awful! 1/5.  Shot through thick cirrus at low elevation. Seeing uncertain, maybe 3/5?</t>
    </r>
  </si>
  <si>
    <t>Sinus Iridum</t>
  </si>
  <si>
    <t>Bay</t>
  </si>
  <si>
    <t>Target Time</t>
  </si>
  <si>
    <t>Titania</t>
  </si>
  <si>
    <t>Umbriel</t>
  </si>
  <si>
    <t>Mare Humorium</t>
  </si>
  <si>
    <t>Mare Frigorus and northern Imbrium</t>
  </si>
  <si>
    <r>
      <t>Imaging</t>
    </r>
    <r>
      <rPr>
        <sz val="10"/>
        <rFont val="Arial"/>
        <family val="2"/>
      </rPr>
      <t>: Mosaic of three frames at 2000mm (f/10).</t>
    </r>
  </si>
  <si>
    <r>
      <t>Imaging</t>
    </r>
    <r>
      <rPr>
        <sz val="10"/>
        <rFont val="Arial"/>
        <family val="2"/>
      </rPr>
      <t>: Mosaic of six frames at 2000mm (f/10).</t>
    </r>
  </si>
  <si>
    <r>
      <t>Imaging</t>
    </r>
    <r>
      <rPr>
        <sz val="10"/>
        <rFont val="Arial"/>
        <family val="2"/>
      </rPr>
      <t>: Color image capture using ToUcam and C8 at 5500mm (f/27.5). 7x30 sec + 1x20 sec + dark frames at 30fps.  Total planet frames ~6900. Seeing 4/5, Transparency 4/5. Taken between 10:06 and 10:12pm MDT.</t>
    </r>
  </si>
  <si>
    <t>Straight Wall</t>
  </si>
  <si>
    <t>Date (UT)</t>
  </si>
  <si>
    <r>
      <t>Imaging</t>
    </r>
    <r>
      <rPr>
        <sz val="10"/>
        <rFont val="Arial"/>
        <family val="2"/>
      </rPr>
      <t>: Took 9x30sec AVI video capture with ToUcam 840 and C8 at 5500mm (f/27.5). Also took single dark frame video (30 sec) and used it for both of tonights video sessions. Seeing 3-4/5. Transparency 4/5.</t>
    </r>
  </si>
  <si>
    <r>
      <t>Imaging</t>
    </r>
    <r>
      <rPr>
        <sz val="10"/>
        <rFont val="Arial"/>
        <family val="2"/>
      </rPr>
      <t>: Used video camera and frame capture software to generate composite image.</t>
    </r>
  </si>
  <si>
    <t>80x</t>
  </si>
  <si>
    <t>160x</t>
  </si>
  <si>
    <t>Tectonic</t>
  </si>
  <si>
    <t>Callisto</t>
  </si>
  <si>
    <t>Europa</t>
  </si>
  <si>
    <r>
      <t>Visual</t>
    </r>
    <r>
      <rPr>
        <sz val="10"/>
        <rFont val="Arial"/>
        <family val="2"/>
      </rPr>
      <t>: Three sketches were made (20:20, 20:30, &amp; 20:30 EST) through the C8 (50x, 100x &amp; 160x)</t>
    </r>
  </si>
  <si>
    <r>
      <t>Visual</t>
    </r>
    <r>
      <rPr>
        <sz val="10"/>
        <rFont val="Arial"/>
        <family val="2"/>
      </rPr>
      <t xml:space="preserve">: One sketch was made using the 3" Newt. at </t>
    </r>
    <r>
      <rPr>
        <sz val="10"/>
        <rFont val="Arial"/>
        <family val="2"/>
      </rPr>
      <t>90x</t>
    </r>
  </si>
  <si>
    <r>
      <t>Visual</t>
    </r>
    <r>
      <rPr>
        <sz val="10"/>
        <rFont val="Arial"/>
        <family val="2"/>
      </rPr>
      <t xml:space="preserve">: One sketch was made using the C8 at </t>
    </r>
    <r>
      <rPr>
        <sz val="10"/>
        <rFont val="Arial"/>
        <family val="2"/>
      </rPr>
      <t>100x</t>
    </r>
  </si>
  <si>
    <r>
      <t>Visual</t>
    </r>
    <r>
      <rPr>
        <sz val="10"/>
        <rFont val="Arial"/>
        <family val="2"/>
      </rPr>
      <t xml:space="preserve">: One sketch was made using the C8 at </t>
    </r>
    <r>
      <rPr>
        <sz val="10"/>
        <rFont val="Arial"/>
        <family val="2"/>
      </rPr>
      <t>80x</t>
    </r>
  </si>
  <si>
    <r>
      <t>Visual</t>
    </r>
    <r>
      <rPr>
        <sz val="10"/>
        <rFont val="Arial"/>
        <family val="2"/>
      </rPr>
      <t xml:space="preserve">: One sketch was made using the C8 at </t>
    </r>
    <r>
      <rPr>
        <sz val="10"/>
        <rFont val="Arial"/>
        <family val="2"/>
      </rPr>
      <t>160x</t>
    </r>
  </si>
  <si>
    <r>
      <t>Visual</t>
    </r>
    <r>
      <rPr>
        <sz val="10"/>
        <rFont val="Arial"/>
        <family val="2"/>
      </rPr>
      <t>: Four sketches were made (19:14, 19:20, 19:35, &amp; 19:27 EST) through the C8 (80x, 80x, 80x, &amp; 160x).</t>
    </r>
  </si>
  <si>
    <r>
      <t>Visual</t>
    </r>
    <r>
      <rPr>
        <sz val="10"/>
        <rFont val="Arial"/>
        <family val="2"/>
      </rPr>
      <t>: Two sketches were made (20:00 &amp; 20:10 EST) through the C8 (160x &amp; 160x).</t>
    </r>
  </si>
  <si>
    <r>
      <t>Imaging</t>
    </r>
    <r>
      <rPr>
        <sz val="10"/>
        <rFont val="Arial"/>
        <family val="2"/>
      </rPr>
      <t>: Took three image series with Rikoh body, Pan B&amp;W film (ISO125), and C8 at 12000mm (f/60) (probably really 10000mm (f/50). Times (EST): 20:35, 20:36, &amp; 20:37. Exposures: 1.0, 0.5, &amp; 0.5 seconds. Old image numbers: 22, 23, &amp; 24. Negative Numbers on ROLL #02: 5, 6, &amp; 7.</t>
    </r>
  </si>
  <si>
    <r>
      <t>Imaging</t>
    </r>
    <r>
      <rPr>
        <sz val="10"/>
        <rFont val="Arial"/>
        <family val="2"/>
      </rPr>
      <t>: Took five image series with Rikoh body, Tri-X B&amp;W film (ISO400), and C8 at 12000mm (f/60) (probably really 10000mm (f/50). Times (EST): 19:17, 19:18, 19:19: 19:20, 19:25. Exposures: 0.067, 0.125, 0.500, 1.000, &amp; 1.000 seconds. Old image numbers: 5, 6, 7, 8, &amp; 9. Negative Numbers on ROLL #01: 7, 8, 9, 10, &amp; 11</t>
    </r>
  </si>
  <si>
    <r>
      <t>Visual</t>
    </r>
    <r>
      <rPr>
        <sz val="10"/>
        <rFont val="Arial"/>
        <family val="2"/>
      </rPr>
      <t>: Two sketches were made (20:16 &amp; 20:20 EST) through the C8 (80x &amp; 160x).</t>
    </r>
  </si>
  <si>
    <t>Meteor</t>
  </si>
  <si>
    <t>Persieds</t>
  </si>
  <si>
    <t>2007-Aug-08</t>
  </si>
  <si>
    <t>2007-Aug-13 01:30</t>
  </si>
  <si>
    <r>
      <t>Visual</t>
    </r>
    <r>
      <rPr>
        <sz val="10"/>
        <rFont val="Arial"/>
        <family val="2"/>
      </rPr>
      <t>. Got up with Nathan in the early morning. I saw 4 meteors in about 20 minutes. Nathan saw nine in the same period. We layed on the driveway on sleeping mats.</t>
    </r>
  </si>
  <si>
    <r>
      <t>Visual</t>
    </r>
    <r>
      <rPr>
        <sz val="10"/>
        <rFont val="Arial"/>
        <family val="2"/>
      </rPr>
      <t>. Saw a Persied while imaging with ST2000.</t>
    </r>
  </si>
  <si>
    <t>2007-Oct-25</t>
  </si>
  <si>
    <r>
      <t>Visual</t>
    </r>
    <r>
      <rPr>
        <sz val="10"/>
        <rFont val="Arial"/>
        <family val="2"/>
      </rPr>
      <t>: Used C8 with 40mm EP (50x). Beautiful, bright yellow shell or circle of light with star-like central nucleus. Hint of a fan of light coming out one side of the nucleus. Color was exceptional.</t>
    </r>
  </si>
  <si>
    <r>
      <t>Imaging</t>
    </r>
    <r>
      <rPr>
        <sz val="10"/>
        <rFont val="Arial"/>
        <family val="2"/>
      </rPr>
      <t>: Took series of movies (30fps) with ToUcam 840 and C8 at 2000mm (f/10). 20 movies x 30sec/movie = 600 sec (10min).  Also gives 18000 frames.  Also took dark movie.  Registax seems to have trouble with quality metrics and alignment because of low signal-to-noise.</t>
    </r>
  </si>
  <si>
    <r>
      <t>Imaging</t>
    </r>
    <r>
      <rPr>
        <sz val="10"/>
        <rFont val="Arial"/>
        <family val="2"/>
      </rPr>
      <t>: Color image capture using ToUcam and C8 at 10000mm (f/50). Total planet frames 1200.</t>
    </r>
  </si>
  <si>
    <t>Phase</t>
  </si>
  <si>
    <t>Mare, crater</t>
  </si>
  <si>
    <t>Theophilus and Cyrillus</t>
  </si>
  <si>
    <t>Craters</t>
  </si>
  <si>
    <t>Lacus Mortis, Burg (two frame mosaic)</t>
  </si>
  <si>
    <t>Unknown ruined crater?</t>
  </si>
  <si>
    <t>Southern Limb</t>
  </si>
  <si>
    <r>
      <rPr>
        <u/>
        <sz val="10"/>
        <rFont val="Arial"/>
        <family val="2"/>
      </rPr>
      <t>Imaging</t>
    </r>
    <r>
      <rPr>
        <sz val="10"/>
        <rFont val="Arial"/>
        <family val="2"/>
      </rPr>
      <t>: Took 6min at 5500mm (f/27.5). Seeing 1/5, transparency 4/5.</t>
    </r>
  </si>
  <si>
    <r>
      <rPr>
        <u/>
        <sz val="10"/>
        <rFont val="Arial"/>
        <family val="2"/>
      </rPr>
      <t>Imaging</t>
    </r>
    <r>
      <rPr>
        <sz val="10"/>
        <rFont val="Arial"/>
        <family val="2"/>
      </rPr>
      <t>: Took 3min of region at 5500mm (f/27.5). Seeing 1/5, transparency 4/5.</t>
    </r>
  </si>
  <si>
    <r>
      <rPr>
        <u/>
        <sz val="10"/>
        <rFont val="Arial"/>
        <family val="2"/>
      </rPr>
      <t>Imaging</t>
    </r>
    <r>
      <rPr>
        <sz val="10"/>
        <rFont val="Arial"/>
        <family val="2"/>
      </rPr>
      <t>: Took two frame mosaic (3min each?) of region at 5500mm (f/27.5). Seeing 1/5, transparency 4/5.</t>
    </r>
  </si>
  <si>
    <r>
      <rPr>
        <u/>
        <sz val="10"/>
        <rFont val="Arial"/>
        <family val="2"/>
      </rPr>
      <t>Imaging</t>
    </r>
    <r>
      <rPr>
        <sz val="10"/>
        <rFont val="Arial"/>
        <family val="2"/>
      </rPr>
      <t>: Took 3 min of region at 5500mm (f/27.5). Seeing 1/5, transparency 4/5.</t>
    </r>
  </si>
  <si>
    <t>Copernicus</t>
  </si>
  <si>
    <t>Eratosthenes</t>
  </si>
  <si>
    <t>Clavius</t>
  </si>
  <si>
    <t>Crater and Mountain chain</t>
  </si>
  <si>
    <t>Posidonius</t>
  </si>
  <si>
    <t>TBD south</t>
  </si>
  <si>
    <r>
      <rPr>
        <u/>
        <sz val="10"/>
        <rFont val="Arial"/>
        <family val="2"/>
      </rPr>
      <t>Imaging</t>
    </r>
    <r>
      <rPr>
        <sz val="10"/>
        <rFont val="Arial"/>
        <family val="2"/>
      </rPr>
      <t>: Took 3 min of region at 5500mm (f/27.5). Seeing 4/5, transparency 4/5.</t>
    </r>
  </si>
  <si>
    <t>Cresent</t>
  </si>
  <si>
    <r>
      <rPr>
        <u/>
        <sz val="10"/>
        <rFont val="Arial"/>
        <family val="2"/>
      </rPr>
      <t>Imaging</t>
    </r>
    <r>
      <rPr>
        <sz val="10"/>
        <rFont val="Arial"/>
        <family val="2"/>
      </rPr>
      <t>: Took many-frame mosaic of cresent moon at 1260mm (f/6.3).</t>
    </r>
  </si>
  <si>
    <t>Waning Gibbous Terminator</t>
  </si>
  <si>
    <r>
      <rPr>
        <u/>
        <sz val="10"/>
        <rFont val="Arial"/>
        <family val="2"/>
      </rPr>
      <t>Imaging</t>
    </r>
    <r>
      <rPr>
        <sz val="10"/>
        <rFont val="Arial"/>
        <family val="2"/>
      </rPr>
      <t>: Took many-frame mosaic of waning gibbous terminator at 1260mm (f/6.3).</t>
    </r>
  </si>
  <si>
    <r>
      <t>Imaging</t>
    </r>
    <r>
      <rPr>
        <sz val="10"/>
        <rFont val="Arial"/>
        <family val="2"/>
      </rPr>
      <t>: Took two 6 min videos (6x1min) using ToUcam (30fps) with C8 at 5500mm (f/27.5). Exposure was 1/100s and settings were "settings0." First data taken between 7:28 and 7:33pm MST. Second data taken between 10:12 and 10:17pm MST. Seeing was 3/5 and transparency 3/5.</t>
    </r>
  </si>
  <si>
    <r>
      <t>Imaging</t>
    </r>
    <r>
      <rPr>
        <sz val="10"/>
        <rFont val="Arial"/>
        <family val="2"/>
      </rPr>
      <t>: Through ZS66.</t>
    </r>
  </si>
  <si>
    <r>
      <t>Imaging</t>
    </r>
    <r>
      <rPr>
        <sz val="10"/>
        <rFont val="Arial"/>
        <family val="2"/>
      </rPr>
      <t>: Took series of LRGB images (20x3sec:20x3sec:20x3sec:20x3sec) with ST2000 and C8 at 1260mm. GM8 worked poorly as it has been lately at this high a focal length. But, this time it was balanced the wrong way and that may be an excuse. I'm not used to shooting toward the east.  Most of the images are untrailed however.  CCDSoft had problems automatically aligning the images. I may use Registax or do it manually. Transparency 5/5, seeing 3/5. Tccd=-20C. Constructed RGB Image with 96sec total exposure.</t>
    </r>
  </si>
  <si>
    <t>2007-Oct-28</t>
  </si>
  <si>
    <r>
      <t>Imaging</t>
    </r>
    <r>
      <rPr>
        <sz val="10"/>
        <rFont val="Arial"/>
        <family val="2"/>
      </rPr>
      <t xml:space="preserve">: Took series of LRGB images (20x3sec+20sec:40x3sec:20x3sec:20x3sec) with ST2000 and C8 at 1260mm. GM8 worked poorly as it has been lately at this high a focal length. </t>
    </r>
  </si>
  <si>
    <t>2007-Nov-08</t>
  </si>
  <si>
    <t>2007-Nov-16</t>
  </si>
  <si>
    <r>
      <t>Visual</t>
    </r>
    <r>
      <rPr>
        <sz val="10"/>
        <rFont val="Arial"/>
        <family val="2"/>
      </rPr>
      <t>: At Bear Creek Star party.  Comet definitely showing some structure in the coma</t>
    </r>
  </si>
  <si>
    <t>2007-Nov-19</t>
  </si>
  <si>
    <r>
      <t>Imaging</t>
    </r>
    <r>
      <rPr>
        <sz val="10"/>
        <rFont val="Arial"/>
        <family val="2"/>
      </rPr>
      <t>: Took 60 min. RGB image series (30:15:15) with ST2000 and TKE130 at 430mm (f/3.3). Also took at 5 min clear, but it was saturated, so just created a synthetic luminance out of the RGB. Binning 1x1. Tccd=-20.</t>
    </r>
  </si>
  <si>
    <r>
      <t>Imaging</t>
    </r>
    <r>
      <rPr>
        <sz val="10"/>
        <rFont val="Arial"/>
        <family val="2"/>
      </rPr>
      <t>: Took 60 min. RGB image series (30:15:15) with ST2000 and TKE130 at 430mm (f/3.3). Binning 1x1. Tccd=-20.</t>
    </r>
  </si>
  <si>
    <t>Approx on elevation</t>
  </si>
  <si>
    <t>2007-Nov-28</t>
  </si>
  <si>
    <r>
      <t>Imaging</t>
    </r>
    <r>
      <rPr>
        <sz val="10"/>
        <rFont val="Arial"/>
        <family val="2"/>
      </rPr>
      <t>: Took 60 min. RGB image series (30:15:15) with ST2000 and 135mm lens (f/3.3). Binning 1x1. Tccd=-20.</t>
    </r>
  </si>
  <si>
    <t>2007-Dec-16</t>
  </si>
  <si>
    <t>2007-Dec-17</t>
  </si>
  <si>
    <r>
      <t>Imaging</t>
    </r>
    <r>
      <rPr>
        <sz val="10"/>
        <rFont val="Arial"/>
        <family val="2"/>
      </rPr>
      <t>: Took 60 min. RGB image series (30:15:15) with ST2000 and 135mm lens (f/3.3). Binning 1x1. Tccd=-20. Seeing=2/5. Image included Ha region NGC7822 and open clusters NGC7762 and King11.</t>
    </r>
  </si>
  <si>
    <r>
      <t>Imaging</t>
    </r>
    <r>
      <rPr>
        <sz val="10"/>
        <rFont val="Arial"/>
        <family val="2"/>
      </rPr>
      <t>: Took 40 min. RGB image series (20:10:10) with ST2000 and 135mm lens (f/3.3). Binning 1x1. Tccd=-20. Seeing=2/5.</t>
    </r>
  </si>
  <si>
    <r>
      <t>Imaging</t>
    </r>
    <r>
      <rPr>
        <sz val="10"/>
        <rFont val="Arial"/>
        <family val="2"/>
      </rPr>
      <t>: Took 60 min. RGB image series (30:15:15) with ST2000 and 135mm lens (f/3.3). Binning 1x1. Tccd=-20. Seeing=2/5. Transparency 1-3/5 (some high haze/clouds during some individual exposures).  Image included Ha regions NGC7822 and Ced214 as well as open clusters NGC7762 and King11.</t>
    </r>
  </si>
  <si>
    <t>1983-May-10</t>
  </si>
  <si>
    <t>1983 H1 IRAS-Araki-Alcock</t>
  </si>
  <si>
    <t>1986-Jan-11</t>
  </si>
  <si>
    <t>1P/Halley</t>
  </si>
  <si>
    <t>1986-Mar-24</t>
  </si>
  <si>
    <t>1986-Apr-17</t>
  </si>
  <si>
    <t>1996-Mar-14</t>
  </si>
  <si>
    <t>1996 B2 Hyakutake</t>
  </si>
  <si>
    <t>1996-Mar-16</t>
  </si>
  <si>
    <t>1996-Mar-19</t>
  </si>
  <si>
    <t>1996-Mar-20</t>
  </si>
  <si>
    <t>1996-Mar-21</t>
  </si>
  <si>
    <t>1996-Mar-25</t>
  </si>
  <si>
    <t>1996-Jul-14</t>
  </si>
  <si>
    <t>1995 O1 Hale-Bopp</t>
  </si>
  <si>
    <t>1996-Jul-20</t>
  </si>
  <si>
    <t>1996-Aug-05</t>
  </si>
  <si>
    <r>
      <t>Visual</t>
    </r>
    <r>
      <rPr>
        <sz val="10"/>
        <rFont val="Arial"/>
        <family val="2"/>
      </rPr>
      <t>. My first comet and one on a very close pass by Earth. I observed it and made sketches as it moved many degrees across the sky.</t>
    </r>
  </si>
  <si>
    <r>
      <t>Visual</t>
    </r>
    <r>
      <rPr>
        <sz val="10"/>
        <rFont val="Arial"/>
        <family val="2"/>
      </rPr>
      <t>. I observed the comet low, in the trees between 7 and 7:30pm local time at both 50x and 80x.  I suspected a small tail. It was a bit windy and 'warm' (~30F).</t>
    </r>
  </si>
  <si>
    <r>
      <t>Visual</t>
    </r>
    <r>
      <rPr>
        <sz val="10"/>
        <rFont val="Arial"/>
        <family val="2"/>
      </rPr>
      <t>. Observed Halley with 10x50 binoculars and made a small sketch. Due to extinction, low altitude, and bright sky comet was only seen with binoculars. Appeared more like what one would expect from an object with 4-6mV.</t>
    </r>
  </si>
  <si>
    <r>
      <t>Imaging</t>
    </r>
    <r>
      <rPr>
        <sz val="10"/>
        <rFont val="Arial"/>
        <family val="2"/>
      </rPr>
      <t>: I took one photo of the comet with 100ASA color 35mm film using 405mm (f/10.5) lens.</t>
    </r>
  </si>
  <si>
    <r>
      <t>Imaging</t>
    </r>
    <r>
      <rPr>
        <sz val="10"/>
        <rFont val="Arial"/>
        <family val="2"/>
      </rPr>
      <t>: I took a series of images from Ann Arbor overlooking the Naval Architecture parking lot between 5:20 and 5:40am.  The first 4 exposures were with a 135mm (f/3.5) lens (Exp: 10s, 20s, 30s, 45s) (Neg#: 2a, 3a, 4a, 5a). The next two were with a 405mm (f/10.5) lens (Exp: 30s, 60s) (Neg#: 6a, 7a).  The final series of five were again with the 135mm (f/3.5) lens (Exp: 45s, 30s, 20s, 10s, 30s) (Neg#: 8a, 9a, 10a, 11a, 12a). The film was 35mm color, but the speed was not recorded.</t>
    </r>
  </si>
  <si>
    <r>
      <t>Imaging</t>
    </r>
    <r>
      <rPr>
        <sz val="10"/>
        <rFont val="Arial"/>
        <family val="2"/>
      </rPr>
      <t>: I took a series of 11 images between11:15 and 11:45pm.  All exposures were with a 405mm (f/10.5) lens (Exp: 15s, 30s, 45s, 60s, 120s, 120s, 60s, 45s, 30s, 300s, 180s). The film was 35mm color with a speed of ISO400. I rounded out the roll of film with two shots of the Moon because the comet went behind trees.</t>
    </r>
  </si>
  <si>
    <r>
      <t>Visual</t>
    </r>
    <r>
      <rPr>
        <sz val="10"/>
        <rFont val="Arial"/>
        <family val="2"/>
      </rPr>
      <t>. Spotted the comet above a telephone pole at 10:12pm (presumably with binoculars). Through the C8 at 50x I made a small sketch and noted that no tail could be seen. The sky background was very bright and there were searchlights sweeping the sky in that area.</t>
    </r>
  </si>
  <si>
    <r>
      <t>Visual</t>
    </r>
    <r>
      <rPr>
        <sz val="10"/>
        <rFont val="Arial"/>
        <family val="2"/>
      </rPr>
      <t>. Sportted Hyakutake at 11:15pm MST with 7x35 binocs and averted vision only about 10 deg above the horizon. By 11:40pm it was a definite naked eye object with averted vision. Estimated brightness to be similar to M42. Maybe about half as bright as adjacent 3.0mV Libra stars. (This would make it about 4.0mV). Size increased in C8 view at 11:50pm (40mm EP with f/6.3 reducer). No tail, but a bright core. Made a sketch through C8. At 11:59pm I used the C8 at 80x and the comet looked great! The core was about 1' in diameter with a 10' coma. Naked eye visibility with direct vision. Last look was naked eye at about 12:05am. Maybe about 4-4.5mV judging by nearby Virgo stars. No tail in binocs or C8.</t>
    </r>
  </si>
  <si>
    <r>
      <t>Imaging</t>
    </r>
    <r>
      <rPr>
        <sz val="10"/>
        <rFont val="Arial"/>
        <family val="2"/>
      </rPr>
      <t>: Took series of 4 images on FUJI 1600 color 35mm film. Used JCI at 600mm (f/7.9). Exposures were 5m, 2m13s, 15m, and 10m taken between 1:21 and 1:53am. Manual guiding using C8.</t>
    </r>
  </si>
  <si>
    <r>
      <t>Visual</t>
    </r>
    <r>
      <rPr>
        <sz val="10"/>
        <rFont val="Arial"/>
        <family val="2"/>
      </rPr>
      <t>. Comet was an easy naked eye find at 10:35pm MST. At 11:45pm it had a distinct tail in 7x35 binocs.</t>
    </r>
  </si>
  <si>
    <r>
      <t>Imaging</t>
    </r>
    <r>
      <rPr>
        <sz val="10"/>
        <rFont val="Arial"/>
        <family val="2"/>
      </rPr>
      <t>: Took series of 3 images on FUJI 1600 color 35mm film. Used JCI at 600mm (f/7.9). Exposures were 5m, 10m, and 15m taken between 11:11 and 11:39pm. Manual guiding using C8.</t>
    </r>
  </si>
  <si>
    <r>
      <t>Visual</t>
    </r>
    <r>
      <rPr>
        <sz val="10"/>
        <rFont val="Arial"/>
        <family val="2"/>
      </rPr>
      <t>. Quite sure I see a tail at least 3deg long with naked eye averted vision. Time about 10pm. Drew a sketch.</t>
    </r>
  </si>
  <si>
    <r>
      <t>Visual</t>
    </r>
    <r>
      <rPr>
        <sz val="10"/>
        <rFont val="Arial"/>
        <family val="2"/>
      </rPr>
      <t>. Thought I detected a tail about 5deg long with the naked eye and averted vision. No tail visible in 7x35 binocs. Comet elevation was only 20deg.  Plenty of reports of 10deg tail from dark sites around this time. Made a sketch.</t>
    </r>
  </si>
  <si>
    <r>
      <t>Visual</t>
    </r>
    <r>
      <rPr>
        <sz val="10"/>
        <rFont val="Arial"/>
        <family val="2"/>
      </rPr>
      <t>.  At about 11pm MST I made a naked eye sketch of the comet.  It looked to be about the magnitude of Arcturus (0.0mV). With direct vision the tail was about 5 deg long.  With slightly averted vision, it was about 10-12 deg long.  Occassionally, with averted vision it seemed 15deg or even 20deg long. I made a sketch showing the comet, tail, and background stars.</t>
    </r>
  </si>
  <si>
    <r>
      <t>Imaging</t>
    </r>
    <r>
      <rPr>
        <sz val="10"/>
        <rFont val="Arial"/>
        <family val="2"/>
      </rPr>
      <t>: Took series of 10 images on ISO1600 color 35mm film. Used JCI at 600mm (f/7.9) for first 5. Exposures were 30s, 30s, 4m52s, 1m35s, and 10m taken between 8:55 and 9:47pm. The next two were taken with the 135mm lens at f/2.5. Exposures were 2m and 2m30s from 10:11 to 10:18pm. Finally, I took three images with a 55mm lens at f/1.4. Exposures were 60s, 10s, and 100s. Manual guiding using C8.</t>
    </r>
  </si>
  <si>
    <r>
      <t>Visual</t>
    </r>
    <r>
      <rPr>
        <sz val="10"/>
        <rFont val="Arial"/>
        <family val="2"/>
      </rPr>
      <t>. Faint and small. Needs averted vision. Almost no central condensation. Viewed through C8.</t>
    </r>
  </si>
  <si>
    <t>1997-Jan-20</t>
  </si>
  <si>
    <t>1997-Feb-14</t>
  </si>
  <si>
    <t>1997-Feb-16</t>
  </si>
  <si>
    <t>1997-Mar-05</t>
  </si>
  <si>
    <t>1997-Mar-08</t>
  </si>
  <si>
    <t>1997-Mar-18</t>
  </si>
  <si>
    <t>1997-Mar-26</t>
  </si>
  <si>
    <t>1997-Mar-29</t>
  </si>
  <si>
    <t>1997-Apr-04</t>
  </si>
  <si>
    <t>1997-Apr-13</t>
  </si>
  <si>
    <r>
      <t>Visual</t>
    </r>
    <r>
      <rPr>
        <sz val="10"/>
        <rFont val="Arial"/>
        <family val="2"/>
      </rPr>
      <t>. Big and good. Visible in finder.  Looks much like M80. Distinct, but short fan-like tail. Made a small sketch. Observed with C8.</t>
    </r>
  </si>
  <si>
    <r>
      <t>Visual</t>
    </r>
    <r>
      <rPr>
        <sz val="10"/>
        <rFont val="Arial"/>
        <family val="2"/>
      </rPr>
      <t>. Observed with 7x35 binocs. No details visible.</t>
    </r>
  </si>
  <si>
    <r>
      <t>Visual</t>
    </r>
    <r>
      <rPr>
        <sz val="10"/>
        <rFont val="Arial"/>
        <family val="2"/>
      </rPr>
      <t>. Observed comet with C8.</t>
    </r>
  </si>
  <si>
    <r>
      <t>Imaging</t>
    </r>
    <r>
      <rPr>
        <sz val="10"/>
        <rFont val="Arial"/>
        <family val="2"/>
      </rPr>
      <t>: Took 8m50s image of comet with FUJI ISO 1600 film.  Used JCI at 600mm (f/7.9).</t>
    </r>
  </si>
  <si>
    <r>
      <t>Visual</t>
    </r>
    <r>
      <rPr>
        <sz val="10"/>
        <rFont val="Arial"/>
        <family val="2"/>
      </rPr>
      <t>. Observed Hale-Bopp between 5:55 and 6:25am local time with 7x35 binocs.  Made a sketch at 5:55am showing short and asymmetric fan-like tail.  Determined that for photography, need to have shutter closed by 6:00am due to brightening dawn sky.</t>
    </r>
  </si>
  <si>
    <r>
      <t>Imaging</t>
    </r>
    <r>
      <rPr>
        <sz val="10"/>
        <rFont val="Arial"/>
        <family val="2"/>
      </rPr>
      <t>: Took series of 13 images using FUJI ISO 1600 film. First 3 images with JCI at 600mm (f/7.9) between 4:48 and 5:08am local time. Exposures: 1m6s, 5m00s, 10m15s. Next 6 images taken with 135mm lens (f/2.5) between 5:22 and 5:45am local time. Exposures: 8m00s, 15s, 1m20s, 4m00s, 2m00s, 2m00s. Twilight began around the 4th image of this series. Final series of 4 images taken with 55mm lens (f/1.4) between 5:46 and 5:48am local time. Exposures: 16s, 30s, 60s, 15s.  Rather bright twilight during this last image series.</t>
    </r>
  </si>
  <si>
    <r>
      <t>Visual</t>
    </r>
    <r>
      <rPr>
        <sz val="10"/>
        <rFont val="Arial"/>
        <family val="2"/>
      </rPr>
      <t>. Observed through 7x35 binocs between 5:30 and 5:50am. Made a sketch showing a substantial tail. Naked eye the tail was about 1 degree long. Made a sketch through C8 at 50x showing complex structure at 5:55am.</t>
    </r>
  </si>
  <si>
    <r>
      <t>Spectrometry</t>
    </r>
    <r>
      <rPr>
        <sz val="10"/>
        <rFont val="Arial"/>
        <family val="2"/>
      </rPr>
      <t>: Arrived at SBO 3am local time. Took spectra of Mars (as solar reference) and of Hale-Bopp.</t>
    </r>
  </si>
  <si>
    <r>
      <t>Visual</t>
    </r>
    <r>
      <rPr>
        <sz val="10"/>
        <rFont val="Arial"/>
        <family val="2"/>
      </rPr>
      <t>: I made a total of four sketches through the C8.  The sketches were made at 18:15, 18:25, 19:10 and 19:15 EST all at 80x. Elevation ranged from 11 to 21 degrees above the horizon.</t>
    </r>
  </si>
  <si>
    <r>
      <t>Visual</t>
    </r>
    <r>
      <rPr>
        <sz val="10"/>
        <rFont val="Arial"/>
        <family val="2"/>
      </rPr>
      <t>: I made a total of six sketches through the C8. The first two sketches were made at 20:10 &amp; 20:20 EST with magnifications of 160x and 100x. The next four sketches were made at 20:30, 20:35, 20:40, &amp; 20:20 EST with magnifications of 80x, 50x, 160x and 100x.</t>
    </r>
  </si>
  <si>
    <r>
      <t>Imaging</t>
    </r>
    <r>
      <rPr>
        <sz val="10"/>
        <rFont val="Arial"/>
        <family val="2"/>
      </rPr>
      <t>: Took series of images using FUJI ISO 1600 film.  First set of 5 images was taken with 135mm lens (f/2.5) between 4:48 and 4:54am local time. Exposures: 15s, 15s, 60s, 94s, 32s. Second set of 4 images was taken with 55mm lens (f/1.4) between 4:57 and 5:01am. Exposures: 15s, 30s, 70s, 90s. Took another two images with 55mm lens (f/1.4) at 5:27am after visual observations. Exposures were 10s and 15s.</t>
    </r>
  </si>
  <si>
    <r>
      <t>Imaging</t>
    </r>
    <r>
      <rPr>
        <sz val="10"/>
        <rFont val="Arial"/>
        <family val="2"/>
      </rPr>
      <t>: Took series of 4 images on ISO 400 film using C8.  The four images were taken at 33400mm (f/167) using 9mm eyepiece projection.  Exposures were 0.25s, 0.5s, 0.25s and 0.5s and were taken at 9:45, 9:45, 10:42 and 10:43pm local time.</t>
    </r>
  </si>
  <si>
    <r>
      <t>Imaging</t>
    </r>
    <r>
      <rPr>
        <sz val="10"/>
        <rFont val="Arial"/>
        <family val="2"/>
      </rPr>
      <t>: Took series of four images of Jupiter on ISO400 film using C8.  The 4 images were taken at 33400mm (f/167) - using 9mm eyepiece projection. Exposures were 0.067s, 0.125s,0.250s, and 0.5s and were taken at 9:11, 9:11, 9:15, and 9:15pm local time in Houston. Robyn helped tonight.</t>
    </r>
  </si>
  <si>
    <r>
      <t>Visual</t>
    </r>
    <r>
      <rPr>
        <sz val="10"/>
        <rFont val="Arial"/>
        <family val="2"/>
      </rPr>
      <t>. Observed Jupiter between about 9:50 and 10:40pm local time looking for evidence of SL-9 impact. Didn't see anything.  Made whan sketch at 9:50pm, before the first comet piece hit. Also noted moon positions. CMI was 176 deg and CMII was 250 deg.</t>
    </r>
  </si>
  <si>
    <r>
      <t>Visual</t>
    </r>
    <r>
      <rPr>
        <sz val="10"/>
        <rFont val="Arial"/>
        <family val="2"/>
      </rPr>
      <t>. Made sketch of Jupiter showing a dark spot at two times: 8:53 and 9:35pm CDT.  I believe it was the shadow of Ganymede. Initial CMI was 97 deg and CMII was 155 deg.  Final CMI was 123 deg and CMII was 181 deg. Also noted moon posiitons.</t>
    </r>
  </si>
  <si>
    <r>
      <t>Imaging</t>
    </r>
    <r>
      <rPr>
        <sz val="10"/>
        <rFont val="Arial"/>
        <family val="2"/>
      </rPr>
      <t>: Took series of 4 images on ISO 400 film using C8.  The four images were taken at 33400mm (f/167) using 9mm eyepiece projection.  Exposures were 0.5s, 1.0s, 0.5s, and 1.0s were taken at 9:14, 9:15, 9:16, and 9:17pm local time.</t>
    </r>
  </si>
  <si>
    <r>
      <t>Visual</t>
    </r>
    <r>
      <rPr>
        <sz val="10"/>
        <rFont val="Arial"/>
        <family val="2"/>
      </rPr>
      <t>. Made sketch of Jupiter at 10:19pm showing a dark region near the limb. I could be the effects of impacts A-C. CMI was 105 deg and CMII was 148 deg.  Also noted moon posiitons.</t>
    </r>
  </si>
  <si>
    <r>
      <t>Imaging</t>
    </r>
    <r>
      <rPr>
        <sz val="10"/>
        <rFont val="Arial"/>
        <family val="2"/>
      </rPr>
      <t>: Took series of 5 images with ISO 400 film through C8 at 33400mm (f/167).  Exposures were 0.5s, 1.0s, 1.0s, 0.5s, and 1.0s and were taken at 9:32, 9:33, 9:39, 9:41, and 9:42pm CDT.</t>
    </r>
  </si>
  <si>
    <r>
      <t>Visual</t>
    </r>
    <r>
      <rPr>
        <sz val="10"/>
        <rFont val="Arial"/>
        <family val="2"/>
      </rPr>
      <t>. We see things! Made a sketch of Jupiter showing positions of two impact spots at 9:15pm and 10:16pm CDT. CMI was 224 and 261 deg. CMII was 259 deg and 296 deg. Also noted moon positions. Made another sketch showing 3 impact spots at 10:49pm (CMI 281 deg and CMII 316 deg).  At 11:45pm I observed Jupiter looking for the fireball from the R impact without success.  Didn't make a sketch at that time.</t>
    </r>
  </si>
  <si>
    <r>
      <t>Imaging</t>
    </r>
    <r>
      <rPr>
        <sz val="10"/>
        <rFont val="Arial"/>
        <family val="2"/>
      </rPr>
      <t>: Took series of 9 images of Jupiter with ISO 400 film through C8 at 33400mm (f/167). Exposures were 0.5s, 0.5s, 5.0s, 5.0s, 10.0s, 1.0s, 2.0s, 1.0s, and 2.0s taken at 9:50, 9:50, 9:51, 9:51, 9:51, 10:06, 10:06, 10:07, and 10:08pm CDT.</t>
    </r>
  </si>
  <si>
    <r>
      <t>Visual</t>
    </r>
    <r>
      <rPr>
        <sz val="10"/>
        <rFont val="Arial"/>
        <family val="2"/>
      </rPr>
      <t>. Made a sketch of Jupiter through C8 at 9:18pm CDT through the 9mm eyepiece. CMI was 250 deg and CMII was 232 deg. Sketch showed two impact spots. Also noted moon positions. Made a second sketch of Jupiter at 10:11pm CDT through the 9mm eyepiece. The sketch showed three impact spots.  CMI was 282 deg and CMII was 264 deg.</t>
    </r>
  </si>
  <si>
    <r>
      <t>Visual</t>
    </r>
    <r>
      <rPr>
        <sz val="10"/>
        <rFont val="Arial"/>
        <family val="2"/>
      </rPr>
      <t>. Made a sketch of Jupter through C8 at 9:47pm CDT.  Sketch shows one uncertain impact spot.  Seeing was poor.  CMI was 21 deg and CMII was 340 deg. Also noted moon positions.</t>
    </r>
  </si>
  <si>
    <r>
      <t>Imaging</t>
    </r>
    <r>
      <rPr>
        <sz val="10"/>
        <rFont val="Arial"/>
        <family val="2"/>
      </rPr>
      <t>: Took series of 4 images of Jupiter through C8 at 33400mm (f/167). Exposures were 1s, 2s, 1s, and 2s at 10:10, 10:10, 10:11 and 10:11pm CDT.</t>
    </r>
  </si>
  <si>
    <r>
      <t>Visual</t>
    </r>
    <r>
      <rPr>
        <sz val="10"/>
        <rFont val="Arial"/>
        <family val="2"/>
      </rPr>
      <t>. Made a sketch of Jupter through C8 at 8:31pm CDT.  Sketch shows no impact spots, only general belts. CMI was 273 deg and CMII was 26 deg. Also noted moon positions. Observation was from Brazos Bend State Park.</t>
    </r>
  </si>
  <si>
    <r>
      <t>Visual</t>
    </r>
    <r>
      <rPr>
        <sz val="10"/>
        <rFont val="Arial"/>
        <family val="2"/>
      </rPr>
      <t>. To my naked eye the comet was about 2.5 times brighter than Altair and about 2x brighter than Deneb. It was about 0.7x as bright as Vega, but that could have been due to extinction. Averaging these values gives mV=+0.2 for comet Hale-Bopp.  The gas tail was about 5 deg long and the dust tail about 3 deg. I also observed the comet through the C8 and 7x35 binocs.  I made sketches of the comet through 7x35s and with 40mm and 7.5mm eyepieces through the C8.  Lots of detail was visible at all magnifications.</t>
    </r>
  </si>
  <si>
    <r>
      <t>Spectrometry</t>
    </r>
    <r>
      <rPr>
        <sz val="10"/>
        <rFont val="Arial"/>
        <family val="2"/>
      </rPr>
      <t>: Arrived at SBO 2:45am local time. Took multiple spectra of Mars (as solar reference) and of Hale-Bopp. Faint twilight noted at around 4:50am.</t>
    </r>
  </si>
  <si>
    <r>
      <t>Visual</t>
    </r>
    <r>
      <rPr>
        <sz val="10"/>
        <rFont val="Arial"/>
        <family val="2"/>
      </rPr>
      <t>. Estimated comet brightness as between mV -0.5 and -1.0. Dust tail was large and bright, about 10 deg long. The ion tail was about 15 deg long and just visible without averted vision. I made a small sketch of the naked eye appearance. 7x35 binocs were almost too powerful - the comet filled the field of view.  Two notes: First, these observations were made from Flagstaff mountain in the evening with my advisor Stan Soloman. Second, my written notes show a question mark by the date, so I may be off a day or two. Could check using CDC.</t>
    </r>
  </si>
  <si>
    <r>
      <t>Imaging</t>
    </r>
    <r>
      <rPr>
        <sz val="10"/>
        <rFont val="Arial"/>
        <family val="2"/>
      </rPr>
      <t>: Took series of images using FUJI ISO 1600 film.  First set of 4 images was taken with 55mm lens (f/1.4) between 7:55 and 8:05pm local time. Exposures: 10s, 20s, 30s, and 60s. Second set of 3 images was taken with 135mm lens (f/2.5) at about 8:05pm. Exposures: 10s, 20s, 40s. Took another two images with 55mm lens (f/1.4) at about 8:20pm after visual observations. Exposures were 20s and 30s. The first and second sets of exposures was with my manual barn-door mount.  The final set was on Stan's fixed tripod.</t>
    </r>
  </si>
  <si>
    <r>
      <t>Visual</t>
    </r>
    <r>
      <rPr>
        <sz val="10"/>
        <rFont val="Arial"/>
        <family val="2"/>
      </rPr>
      <t>. At about 4:30am comet was plainly visible   to the naked eye through a layer of high cirrus. It was not quite as bright as Deneb (alp Cyg), but brighter than all other Cygnus stars. Through 7x35 binocs a tail could be seen. Made a small sketch of view through binoculars.</t>
    </r>
  </si>
  <si>
    <r>
      <t>Visual</t>
    </r>
    <r>
      <rPr>
        <sz val="10"/>
        <rFont val="Arial"/>
        <family val="2"/>
      </rPr>
      <t>. Went out to Nelson Road to look at Hale-Bopp with Robyn. It was better than from Flagstaff Moutain. The dust tail was 10 deg long and the 15 deg ion tail was plainly visible to the naked eye. Just expected a disconnection event at any time. Saw the Gegenshine (sp?) for the first time. Very cool. Matched plane of ecliptic and about 30 deg high by 10 deg wide.</t>
    </r>
  </si>
  <si>
    <r>
      <t>Spectrometry</t>
    </r>
    <r>
      <rPr>
        <sz val="10"/>
        <rFont val="Arial"/>
        <family val="2"/>
      </rPr>
      <t>: Took multiple spectra of Mars (as solar reference) and of Hale-Bopp. Faint twilight noted at around 4:50am.</t>
    </r>
  </si>
  <si>
    <r>
      <t>Imaging</t>
    </r>
    <r>
      <rPr>
        <sz val="10"/>
        <rFont val="Arial"/>
        <family val="2"/>
      </rPr>
      <t>: Took series of seven images of Jupiter on ISO100 film using C8.  First 4 images were taken at 12000mm (f/60). Exposures were 0.125s, 0.25s, 0.5s, 1.0s and were taken at 21:19, 21:19, 21:19, and 21:20 local time in Houston. Robyn helped tonight. Second 3 images were taken at 7500mm (f/37.5). Exposures were 0.067s, 0.067s, and 0.125s and were taken at 21:31, 21:32, and 21:32 local time.</t>
    </r>
  </si>
  <si>
    <r>
      <t>Visual</t>
    </r>
    <r>
      <rPr>
        <sz val="10"/>
        <rFont val="Arial"/>
        <family val="2"/>
      </rPr>
      <t>. Made a sketch through C8 (with 9mm eyepiece?) around 9:00pm CDT.  Also noted moon positions.  CMI was 279 deg and CMII was 39 deg. Sketch mainly shows NEB and SEB.</t>
    </r>
  </si>
  <si>
    <r>
      <t>Visual</t>
    </r>
    <r>
      <rPr>
        <sz val="10"/>
        <rFont val="Arial"/>
        <family val="2"/>
      </rPr>
      <t>. Made a sketch through C8 with 9mm eyepiece around 9:27pm CDT.  Also noted moon positions.  CMI was 44 deg and CMII was 263 deg. Sketch mainly shows NEB and SEB.</t>
    </r>
  </si>
  <si>
    <r>
      <t>Visual</t>
    </r>
    <r>
      <rPr>
        <sz val="10"/>
        <rFont val="Arial"/>
        <family val="2"/>
      </rPr>
      <t>. Made a sketch through C8 with 9mm eyepiece between 10:16 and 10:23pm CDT.  Also noted moon positions.  CMI was 118 deg and CMII was 352 deg. Sketch mainly shows NEB.</t>
    </r>
  </si>
  <si>
    <r>
      <t>Visual</t>
    </r>
    <r>
      <rPr>
        <sz val="10"/>
        <rFont val="Arial"/>
        <family val="2"/>
      </rPr>
      <t>. Made a sketch through C8 around 9:40pm CDT.  Also noted moon positions.  CMI was 101 deg and CMII was 213 deg. Sketch mainly shows NEB and SEB.</t>
    </r>
  </si>
  <si>
    <r>
      <t>Visual</t>
    </r>
    <r>
      <rPr>
        <sz val="10"/>
        <rFont val="Arial"/>
        <family val="2"/>
      </rPr>
      <t>. Made a sketch through C8 around 9:37pm CDT.  CMI was 213 deg and CMII was 302 deg. Sketch mainly shows NEB and SEB, but with darker patch on one of the belts.</t>
    </r>
  </si>
  <si>
    <r>
      <t>Imaging</t>
    </r>
    <r>
      <rPr>
        <sz val="10"/>
        <rFont val="Arial"/>
        <family val="2"/>
      </rPr>
      <t>: Video through telescope, uncertain exposure on video camera. Used 7.5 mm eyepiece.  Video continues through ~1925pm. Time shown in ASTRO_LOG.XLS shows 21:16 as time, but also shows finish time of ~19:25pm.</t>
    </r>
  </si>
  <si>
    <r>
      <t>Imaging</t>
    </r>
    <r>
      <rPr>
        <sz val="10"/>
        <rFont val="Arial"/>
        <family val="2"/>
      </rPr>
      <t>: Video through telescope, uncertain exposure on video camera. Used 7.5 mm eyepiece.  Used borrowed tripod from Dennis for Camcorder.  Time shown in ASTRO_LOG.XLS shows 20:42.</t>
    </r>
  </si>
  <si>
    <r>
      <t>Imaging</t>
    </r>
    <r>
      <rPr>
        <sz val="10"/>
        <rFont val="Arial"/>
        <family val="2"/>
      </rPr>
      <t>: Took series of 6 images on ISO 1600 color negative film through C8 at 40000mm (f/200) at about 21:02 local time. Exposures were 1s, 1s, 2s, 0.5s, 0.25s, and 2s. ID numbers from old loging system were 560-565.</t>
    </r>
  </si>
  <si>
    <r>
      <t>Imaging</t>
    </r>
    <r>
      <rPr>
        <sz val="10"/>
        <rFont val="Arial"/>
        <family val="2"/>
      </rPr>
      <t>: Took two images on ISO 1600 color negative film through C8 at 1260mm (f/6.3) at about 21:02 local time. Exposures were 1s and 2s. ID numbers from old loging system were 489 and 490.</t>
    </r>
  </si>
  <si>
    <r>
      <t>Imaging</t>
    </r>
    <r>
      <rPr>
        <sz val="10"/>
        <rFont val="Arial"/>
        <family val="2"/>
      </rPr>
      <t>: Took two images on ISO 100 color negative film through C8 at 33400mm (f/167) at about 23:00 local time. Exposures were 1s and 1s. ID numbers from old loging system were 108 and 109.</t>
    </r>
  </si>
  <si>
    <r>
      <t>Visual</t>
    </r>
    <r>
      <rPr>
        <sz val="10"/>
        <rFont val="Arial"/>
        <family val="2"/>
      </rPr>
      <t>. Made six observations of Jupiter through C8.  Seeing was incredible.  Several white spots were seen on Jupiter. The red spot was very pale, almost white. Io approached close to Jupiter and either began to transit or be occulted. Observations were made at 10:17pm, 10:27pm, 10:39pm, 10:45pm, 10:50pm, and 11:04pm.  Various magnifications were used.  Four drawings were made. The first shows the moon positions relative to the planet. The second, at 10:27 shows details on Jupiter along with Io's position. The 10:39 drawing only shows the relative position of Io. And the 10:50 drawing again shows atmospheric detail with the positions of Io shows for 10:45, 10:50, and 11:04. This was the night my dad and I saw an oppossum on the back fence.</t>
    </r>
  </si>
  <si>
    <r>
      <t>Visual</t>
    </r>
    <r>
      <rPr>
        <sz val="10"/>
        <rFont val="Arial"/>
        <family val="2"/>
      </rPr>
      <t>. Made a simple drawing of Jupiter showing two belts and relative moon positions. Noted that defocusing Jupiter show turbulance in terrestrial atmosphere like a shadowgraph.</t>
    </r>
  </si>
  <si>
    <r>
      <t>Visual</t>
    </r>
    <r>
      <rPr>
        <sz val="10"/>
        <rFont val="Arial"/>
        <family val="2"/>
      </rPr>
      <t>. Made an observation of Jupiter, but a low magnification due to problems with clock drive.  This was from Brazos Bend State Park. Didn't make any drawings.</t>
    </r>
  </si>
  <si>
    <r>
      <t>Imaging</t>
    </r>
    <r>
      <rPr>
        <sz val="10"/>
        <rFont val="Arial"/>
        <family val="2"/>
      </rPr>
      <t>: Took two images on ISO400 color film through C8 at 12000mm FL (f/60). Exposures were 0.125s and 0.067s. ID numbers from old logging system were 169 and 170.</t>
    </r>
  </si>
  <si>
    <r>
      <t>Visual</t>
    </r>
    <r>
      <rPr>
        <sz val="10"/>
        <rFont val="Arial"/>
        <family val="2"/>
      </rPr>
      <t>. Made small sketch of Jupiter showing three moons. Minimal detail depicted on Jupiter.</t>
    </r>
  </si>
  <si>
    <r>
      <t>Imaging</t>
    </r>
    <r>
      <rPr>
        <sz val="10"/>
        <rFont val="Arial"/>
        <family val="2"/>
      </rPr>
      <t>: Took a series of 5 images with ISO 1600 color film through C8 at 40000mm FL (f/200).  Exposures were: 0.5s, 1.0s, 0.5s, 1.0s, 1.0s.  Time was about 5:51am local time.  ID numbers from old logging system are 382-386.</t>
    </r>
  </si>
  <si>
    <r>
      <t>Visual</t>
    </r>
    <r>
      <rPr>
        <sz val="10"/>
        <rFont val="Arial"/>
        <family val="2"/>
      </rPr>
      <t>. Made two sketches on an observing log sheet  (Bellefontaine in Houston). Showed substantial detail on Jupiter at high power (7.5mm eyepiece and C8). Also drew moon positions. "Disk very large. Split north belt easily. Remnants of SL-9 at south belt area?" Moon position drawing at 5:41 local time. Disk detail drawn at 6:41 local time.</t>
    </r>
  </si>
  <si>
    <r>
      <t>Visual</t>
    </r>
    <r>
      <rPr>
        <sz val="10"/>
        <rFont val="Arial"/>
        <family val="2"/>
      </rPr>
      <t>. Made a sketch on an observing log sheet. One of the best views of Jupiter I've ever had. Plain whit spot on SEB. Red (white?) spot very plain and very colorless. Observed from Terry Street in Longmont. Sketch was made between 9:32 and 9:38pm local time. Used 7.5mm eyepiece with the C8 and no diagonal. Small side sketch shows moon positions. Rated seeing 8/10 and transparency 4/5. Meeus predicts CMI of 165deg and CMII of 318 deg. S&amp;T has the GRS at about 42 deg (Sys II).</t>
    </r>
  </si>
  <si>
    <r>
      <t>Visual</t>
    </r>
    <r>
      <rPr>
        <sz val="10"/>
        <rFont val="Arial"/>
        <family val="2"/>
      </rPr>
      <t>. Observed Jupiter as the sky grew dark. Made two sketches on observing sheet. One shows moon positions and the other details on the disk.  White oval in NEB only glimpsed. Not sure it was there. Meeus predicts CMI of 311deg and CMII of 97 deg. Drawings were made about 9:16pm local time. Seeing rated 4/10 and transparency 4/5. Used 7.5mm eyepiece through C8 without the diagonal.</t>
    </r>
  </si>
  <si>
    <r>
      <t>~21:00 MST Imaging</t>
    </r>
    <r>
      <rPr>
        <sz val="10"/>
        <rFont val="Arial"/>
        <family val="2"/>
      </rPr>
      <t xml:space="preserve">: Took ST2000 Clear series.  Stacked 38 individual 0.05 sec images.  Binned 1x1 with 5500mm EFL (f/27.5). Resolution appeared to be equivalent to 4.0" unobstructed aperture equivalent or about 1.3 arcseconds based on CalSky equivalent image appearance. Equatorial band clearly very visible along with dark south polar cap.  Cassini Division clear from both each ansa to about halfway to disk center. CM 344.5, Inclination : -23.8 (to Earth), -22.4 (to Sun).
</t>
    </r>
    <r>
      <rPr>
        <u/>
        <sz val="10"/>
        <rFont val="Arial"/>
        <family val="2"/>
      </rPr>
      <t/>
    </r>
  </si>
  <si>
    <r>
      <t>21:14 MDT Imaging</t>
    </r>
    <r>
      <rPr>
        <sz val="10"/>
        <rFont val="Arial"/>
        <family val="2"/>
      </rPr>
      <t xml:space="preserve">: Took Olympus C60 series using afocal method. </t>
    </r>
  </si>
  <si>
    <r>
      <t>21:15 MDT Imaging</t>
    </r>
    <r>
      <rPr>
        <sz val="10"/>
        <rFont val="Arial"/>
        <family val="2"/>
      </rPr>
      <t xml:space="preserve">: Took Olympus C60 series using afocal method. </t>
    </r>
  </si>
  <si>
    <r>
      <t>21:16 MDT Imaging</t>
    </r>
    <r>
      <rPr>
        <sz val="10"/>
        <rFont val="Arial"/>
        <family val="2"/>
      </rPr>
      <t xml:space="preserve">: Took Olympus C60 series using afocal method. </t>
    </r>
  </si>
  <si>
    <r>
      <t>~21:20 MDT Imaging</t>
    </r>
    <r>
      <rPr>
        <sz val="10"/>
        <rFont val="Arial"/>
        <family val="2"/>
      </rPr>
      <t>: Took Olympus C60 series using afocal method.  Used much longer EFL so that field mostly only covers one crater (Aristarchus?).</t>
    </r>
  </si>
  <si>
    <t>Neptune</t>
  </si>
  <si>
    <r>
      <t>~21:00 MDT Imaging</t>
    </r>
    <r>
      <rPr>
        <sz val="10"/>
        <rFont val="Arial"/>
        <family val="2"/>
      </rPr>
      <t xml:space="preserve">: Took Olympus C60 series using afocal method.  </t>
    </r>
  </si>
  <si>
    <r>
      <t>Imaging</t>
    </r>
    <r>
      <rPr>
        <sz val="10"/>
        <rFont val="Arial"/>
        <family val="2"/>
      </rPr>
      <t>: Took Olympus C60 series using afocal method.</t>
    </r>
  </si>
  <si>
    <t>1517 Beograd</t>
  </si>
  <si>
    <t>Asteroid</t>
  </si>
  <si>
    <r>
      <t>Imaging</t>
    </r>
    <r>
      <rPr>
        <sz val="10"/>
        <rFont val="Arial"/>
        <family val="2"/>
      </rPr>
      <t>: Accidential capture on M65-M66 image (see DS observations).  ST2000 RGB series.</t>
    </r>
  </si>
  <si>
    <t>Io</t>
  </si>
  <si>
    <t>Ganymede</t>
  </si>
  <si>
    <t>C/2007 N3 Lulin</t>
  </si>
  <si>
    <r>
      <t>General</t>
    </r>
    <r>
      <rPr>
        <sz val="10"/>
        <rFont val="Arial"/>
        <family val="2"/>
      </rPr>
      <t>: Good target in mid to late February 2009.  Should reach mag 6 or better.</t>
    </r>
  </si>
  <si>
    <t>Mag, Height</t>
  </si>
  <si>
    <t>Kies Pie</t>
  </si>
  <si>
    <r>
      <rPr>
        <u/>
        <sz val="10"/>
        <rFont val="Arial"/>
        <family val="2"/>
      </rPr>
      <t>Geological period</t>
    </r>
    <r>
      <rPr>
        <sz val="10"/>
        <rFont val="Arial"/>
        <family val="2"/>
      </rPr>
      <t xml:space="preserve">: Copernician (From -1.1 billions years to present days)
</t>
    </r>
    <r>
      <rPr>
        <u/>
        <sz val="10"/>
        <rFont val="Arial"/>
        <family val="2"/>
      </rPr>
      <t>Description</t>
    </r>
    <r>
      <rPr>
        <sz val="10"/>
        <rFont val="Arial"/>
        <family val="2"/>
      </rPr>
      <t>: Young and isolated formation with hexagonal form. Bright rays all around. Very steep slopes dominant Mare Insularum of 900 m tormented and supporting Fauth to the South and Gay-Lussac to the North. Floor flatter to the North that to the South. Three central mountains (1200 m). Hills and ruins in the arena.</t>
    </r>
  </si>
  <si>
    <r>
      <rPr>
        <u/>
        <sz val="10"/>
        <rFont val="Arial"/>
        <family val="2"/>
      </rPr>
      <t>Geological period</t>
    </r>
    <r>
      <rPr>
        <sz val="10"/>
        <rFont val="Arial"/>
        <family val="2"/>
      </rPr>
      <t xml:space="preserve">: Upper Imbrian (From -3.8 billions years to -3.2 billions years)
</t>
    </r>
    <r>
      <rPr>
        <u/>
        <sz val="10"/>
        <rFont val="Arial"/>
        <family val="2"/>
      </rPr>
      <t>Description</t>
    </r>
    <r>
      <rPr>
        <sz val="10"/>
        <rFont val="Arial"/>
        <family val="2"/>
      </rPr>
      <t xml:space="preserve">: Circular formation. Forms a remarkable couple with Chacornac. Few steep slopes supporting the trio Posidonius O I &amp; B to the North. Pretty high walls. Flat floor with numerous craterlets whose Posidonius A and C and Rimae Posidonius. Lines of crest.
</t>
    </r>
  </si>
  <si>
    <r>
      <rPr>
        <u/>
        <sz val="10"/>
        <rFont val="Arial"/>
        <family val="2"/>
      </rPr>
      <t>Geological period</t>
    </r>
    <r>
      <rPr>
        <sz val="10"/>
        <rFont val="Arial"/>
        <family val="2"/>
      </rPr>
      <t xml:space="preserve">: Imbrian (From -3.85 billions years to -3.2 billions years) ?
</t>
    </r>
    <r>
      <rPr>
        <u/>
        <sz val="10"/>
        <rFont val="Arial"/>
        <family val="2"/>
      </rPr>
      <t>Description</t>
    </r>
    <r>
      <rPr>
        <sz val="10"/>
        <rFont val="Arial"/>
        <family val="2"/>
      </rPr>
      <t>: Volcanic dome situated on the South-West slope of Kies. Few steep slopes. Summit crater 2 km diameter.</t>
    </r>
  </si>
  <si>
    <t>Bullialdus</t>
  </si>
  <si>
    <r>
      <rPr>
        <u/>
        <sz val="10"/>
        <rFont val="Arial"/>
        <family val="2"/>
      </rPr>
      <t>Geological period</t>
    </r>
    <r>
      <rPr>
        <sz val="10"/>
        <rFont val="Arial"/>
        <family val="2"/>
      </rPr>
      <t xml:space="preserve">: Eratosthenian (From -3.2 billions years to -1.1 billions years)
</t>
    </r>
    <r>
      <rPr>
        <u/>
        <sz val="10"/>
        <rFont val="Arial"/>
        <family val="2"/>
      </rPr>
      <t>Description</t>
    </r>
    <r>
      <rPr>
        <sz val="10"/>
        <rFont val="Arial"/>
        <family val="2"/>
      </rPr>
      <t>: Isolated circular formation situated on the West bank of Mare Nubium. Very steep and tormented slopes supporting the craterlets 
Bullialdus L to the West Bullialdus E to the South-West and crater Bullialdus A and B to the South.
Very high walls in terraces with sweeter slopes to the South-West. Few extensive and flat floor with ruins to the South-West. Important central mountain with several summits. Rays.</t>
    </r>
  </si>
  <si>
    <t>Imaging: Took 20 sec video (2x10sec) with ToUcam and ST2000 at 5500mm (f/27.5).  Stacked 142/600 frames.</t>
  </si>
  <si>
    <t>2005-Nov-19</t>
  </si>
  <si>
    <r>
      <t>Imaging</t>
    </r>
    <r>
      <rPr>
        <sz val="10"/>
        <rFont val="Arial"/>
        <family val="2"/>
      </rPr>
      <t xml:space="preserve">: Color image capture using ToUcam and C8 at 10000mm (f/50). Total planet frames 1800. Appears I did a second image run using a different FL? </t>
    </r>
  </si>
  <si>
    <r>
      <t>Imaging</t>
    </r>
    <r>
      <rPr>
        <sz val="10"/>
        <rFont val="Arial"/>
        <family val="2"/>
      </rPr>
      <t>: Took 4min. Venus video (4x1min) with ToUcam 840 and C8 at 5500mm (f/27.5). Taken between 3:24 &amp; 3:37pm MST.</t>
    </r>
  </si>
  <si>
    <t>2009-Feb 26</t>
  </si>
  <si>
    <r>
      <t>Imaging</t>
    </r>
    <r>
      <rPr>
        <sz val="10"/>
        <rFont val="Arial"/>
        <family val="2"/>
      </rPr>
      <t xml:space="preserve">: Took three types of image series all with ST2000 and TKE 130 at 430mm (f/3.3). Tccd=-20C, no fan. First series: LRGB (4:2:1:1) (30 sec each) rapid images to reduce smearing of detail since the comet was moving so fast (0.2"/sec).  Next took 30 min LRGB (10:10:5:5) with 5 min exposures of the </t>
    </r>
    <r>
      <rPr>
        <i/>
        <sz val="10"/>
        <rFont val="Arial"/>
        <family val="2"/>
      </rPr>
      <t>tail only</t>
    </r>
    <r>
      <rPr>
        <sz val="10"/>
        <rFont val="Arial"/>
        <family val="2"/>
      </rPr>
      <t xml:space="preserve"> to try to see how deep I could reasonably go. Finally, I took a single 5 min clear exposure of the coma and sunward part of the coma to see if there was an antitail visible. There was not - I guess that's because it was past closest approach.  Seeing was 2/5. Transparency went from good 3/5 to awful with high clouds 1/5 and back and forth several times. May have messed up the color balance.</t>
    </r>
  </si>
  <si>
    <r>
      <t>Visual</t>
    </r>
    <r>
      <rPr>
        <sz val="10"/>
        <rFont val="Arial"/>
        <family val="2"/>
      </rPr>
      <t xml:space="preserve">: Observed the comet in 10x50 binocs.  Tail was clearly evident with minimal averted vision, despite sometimes poor transparency. Tail lenth estimated as being about 1.5-2 deg.  Thought I saw and anti-tail to the NW, but it was probably my imagination based on images I'd seen.  It didn't show up in </t>
    </r>
    <r>
      <rPr>
        <i/>
        <sz val="10"/>
        <rFont val="Arial"/>
        <family val="2"/>
      </rPr>
      <t xml:space="preserve">my </t>
    </r>
    <r>
      <rPr>
        <sz val="10"/>
        <rFont val="Arial"/>
        <family val="2"/>
      </rPr>
      <t>images.</t>
    </r>
  </si>
  <si>
    <t>Imaging: Took two 10 min. videos (10x1min.) with ToUcam 840 and C8 at 5500mm (f/27.5).  Seeing was very good, best I've seen in winter/spring (4/5). First video centered on 00:39 second on 1:29 MDT.</t>
  </si>
  <si>
    <t>X</t>
  </si>
  <si>
    <r>
      <t>Imaging</t>
    </r>
    <r>
      <rPr>
        <sz val="10"/>
        <rFont val="Arial"/>
        <family val="2"/>
      </rPr>
      <t>: Ganymede disk marginally resolved as indicated by WinJUPOS disk overlay. No surface features visible. With spatial resolution estimated at 1.19 arcsec from CalSky, this seems reasonable. 10x20sec + dark frame.  Seeing 3/5. Trans. 4/5.</t>
    </r>
  </si>
  <si>
    <r>
      <t>Imaging</t>
    </r>
    <r>
      <rPr>
        <sz val="10"/>
        <rFont val="Arial"/>
        <family val="2"/>
      </rPr>
      <t>: 1500/6000 frames at 5500mm (f/27.5)</t>
    </r>
  </si>
  <si>
    <r>
      <t>Imaging</t>
    </r>
    <r>
      <rPr>
        <sz val="10"/>
        <rFont val="Arial"/>
        <family val="2"/>
      </rPr>
      <t>: Took 10x30sec AVI video capture with ToUcam 840 and C8 at 5500mm (f/27.5). Also took single dark frame video (30 sec) and used it for both of tonights video sessions. Seeing 3-4/5. Transparency 4/5. Ganymede  size suggests resolution of 2-3". However, CalSky comparison</t>
    </r>
  </si>
  <si>
    <r>
      <t>Imaging</t>
    </r>
    <r>
      <rPr>
        <sz val="10"/>
        <rFont val="Arial"/>
        <family val="2"/>
      </rPr>
      <t>: 5500mm (f/27.5). 1800/10800 frames.</t>
    </r>
  </si>
  <si>
    <r>
      <t>Imaging</t>
    </r>
    <r>
      <rPr>
        <sz val="10"/>
        <rFont val="Arial"/>
        <family val="2"/>
      </rPr>
      <t>: 5500mm (f/27.5). 1800/10800 frames?</t>
    </r>
  </si>
  <si>
    <r>
      <t>Imaging</t>
    </r>
    <r>
      <rPr>
        <sz val="10"/>
        <rFont val="Arial"/>
        <family val="2"/>
      </rPr>
      <t>: (Just after midnight). Took 5 min (5x1min) video of Jupiter with ToUcam 840k and C8 at 5500mm (f/27.5).  Seeing 3/5 (but low elevation). Transparency 3/5. GRS visible in raw video.Ganymede visible in front of Jovian disk in raw video.</t>
    </r>
  </si>
  <si>
    <r>
      <t>Imaging</t>
    </r>
    <r>
      <rPr>
        <sz val="10"/>
        <rFont val="Arial"/>
        <family val="2"/>
      </rPr>
      <t>: Took first of two 5 min (5x1min) videos of Jupiter with ToUcam 840k and C8 at 5500mm (f/27.5).  GRS visible in raw video. Transparency 4/5.  Seeing 4-5/5, among the 2-3 best nights I've ever seen in Boulder.  Vega showed only a small pulse of scintillation every 10-20 seconds - otherwise it shown like a planet.</t>
    </r>
  </si>
  <si>
    <r>
      <t>Imaging</t>
    </r>
    <r>
      <rPr>
        <sz val="10"/>
        <rFont val="Arial"/>
        <family val="2"/>
      </rPr>
      <t xml:space="preserve">: Took second of two 5 min (5x1min) videos of Jupiter with ToUcam 840k and C8 at 5500mm (f/27.5).  GRS visible in raw video. Transparency 4/5.  Seeing 4-5/5, among the 2-3 best nights I've ever seen in Boulder.  Vega showed only a small pulse of scintillation every 10-20 seconds - otherwise it shown like a planet. </t>
    </r>
  </si>
  <si>
    <r>
      <t>Imaging</t>
    </r>
    <r>
      <rPr>
        <sz val="10"/>
        <rFont val="Arial"/>
        <family val="2"/>
      </rPr>
      <t>: TBD</t>
    </r>
  </si>
  <si>
    <r>
      <rPr>
        <u/>
        <sz val="10"/>
        <rFont val="Arial"/>
        <family val="2"/>
      </rPr>
      <t>Imaging</t>
    </r>
    <r>
      <rPr>
        <sz val="10"/>
        <rFont val="Arial"/>
        <family val="2"/>
      </rPr>
      <t>: Took second of two video series with ToUcam 840 and C8 at 5500mm (f/27.5).  Seeing was moderately fair, 2-3/5. First video series was 11 min (12x1min) with lower gamma and brightness.</t>
    </r>
  </si>
  <si>
    <t>C</t>
  </si>
  <si>
    <t>Size</t>
  </si>
  <si>
    <t>Mag.</t>
  </si>
  <si>
    <t>Mimas</t>
  </si>
  <si>
    <t>Iapetus</t>
  </si>
  <si>
    <r>
      <t>Imaging</t>
    </r>
    <r>
      <rPr>
        <sz val="10"/>
        <rFont val="Arial"/>
        <family val="2"/>
      </rPr>
      <t>: Color image capture using ToUcam and C8 at 5500mm (f/27.5). 14x30 sec + dark frame at 30fps.  Total planet frames ~12600. Seeing 4/5, Transparency 4/5. Taken between 10:39 and 10:45pm MDT.</t>
    </r>
  </si>
  <si>
    <r>
      <t>Imaging</t>
    </r>
    <r>
      <rPr>
        <sz val="10"/>
        <rFont val="Arial"/>
        <family val="2"/>
      </rPr>
      <t>: 1800/10800 frames. FL 5500mm (f/27.5) with C8 and ToUcam840.</t>
    </r>
  </si>
  <si>
    <r>
      <t>Imaging</t>
    </r>
    <r>
      <rPr>
        <sz val="10"/>
        <rFont val="Arial"/>
        <family val="2"/>
      </rPr>
      <t>: 5400/10800 frames. FL 5500mm (f/27.5) with C8 and ToUcam840.</t>
    </r>
  </si>
  <si>
    <r>
      <t>~21:00 MST Imaging</t>
    </r>
    <r>
      <rPr>
        <sz val="10"/>
        <rFont val="Arial"/>
        <family val="2"/>
      </rPr>
      <t xml:space="preserve">: Took Logitech WebCam series using afocal projection.  Stacked 73 individual images.  Used 7.5mm EP with Barlow. Very poor image.  Barely resolved rings. Never printed.
</t>
    </r>
    <r>
      <rPr>
        <u/>
        <sz val="10"/>
        <rFont val="Arial"/>
        <family val="2"/>
      </rPr>
      <t/>
    </r>
  </si>
  <si>
    <r>
      <t>Imaging</t>
    </r>
    <r>
      <rPr>
        <sz val="10"/>
        <rFont val="Arial"/>
        <family val="2"/>
      </rPr>
      <t>: Took 16 image series with ST2000 and 135mm lens (f/2.5).  Regulus included in field along with dwarf galaxy Leo I. Tccd=-20C.</t>
    </r>
  </si>
  <si>
    <t>2009-Feb-27</t>
  </si>
  <si>
    <r>
      <t>Imaging</t>
    </r>
    <r>
      <rPr>
        <sz val="10"/>
        <rFont val="Arial"/>
        <family val="2"/>
      </rPr>
      <t>: Took two videos with different camera settings (4min. &amp; 6min.; 1min sub-videos) with ToUcam 840 and C8 at 5500mm (f/27.5). The first video was at approximately 3:57pm MDT and the second was at about 4:04pm MDT.</t>
    </r>
  </si>
  <si>
    <r>
      <t>Imaging</t>
    </r>
    <r>
      <rPr>
        <sz val="10"/>
        <rFont val="Arial"/>
        <family val="2"/>
      </rPr>
      <t>: Took 6min Venus video (6x1 min) with ToUcam 840 and C8 at 5500mm (f/27.5). Taken between 3:35 and 3:45pm MST. Ephemerides from CalSky.com.</t>
    </r>
  </si>
  <si>
    <t>Ill Frac.</t>
  </si>
  <si>
    <t>Size 2</t>
  </si>
  <si>
    <t>Size 1</t>
  </si>
  <si>
    <r>
      <t>Imaging</t>
    </r>
    <r>
      <rPr>
        <sz val="10"/>
        <rFont val="Arial"/>
        <family val="2"/>
      </rPr>
      <t>: Color image capture using ToUcam and C8 at 5500mm (f/27.5). 10x30 sec + dark frame at 30fps.  Total planet frames ~9000. Seeing 2/5, Transparency 4/5. (About 5:30pm MDT 4/19)</t>
    </r>
  </si>
  <si>
    <r>
      <t>Imaging</t>
    </r>
    <r>
      <rPr>
        <sz val="10"/>
        <rFont val="Arial"/>
        <family val="2"/>
      </rPr>
      <t>: Took three different image sets.  1) [5:46-5:51 MDT] Color video capture with C8 at 5500mm (f/27.5). 9x30sec + dark frame at 30fps.  Total planet frames 7200. 2) [5:56-6:02 MDT] "Violet A" set with violet planet filter replacing IR/UV blocker and camera set to black and white. 10x30 sec videos. 3) [6:07-6:13 MDT] "Violet B" set with no filter at all and camera set to black and white. 10x30 sec videos. Observations span late 6/23 to early 6/24 UT.</t>
    </r>
  </si>
  <si>
    <r>
      <t>Imaging</t>
    </r>
    <r>
      <rPr>
        <sz val="10"/>
        <rFont val="Arial"/>
        <family val="2"/>
      </rPr>
      <t>: Took five image series with Rikoh body, Tri-X B&amp;W film (ISO400), and C8 at 12000mm (f/60) (probably really 10000mm (f/50). Times (EST): 19:05, 19:07, 19:09: 19:11, 19:30. Exposures: 0.067, 0.250, 1.000, 0.500, &amp; 1.000 seconds. Old image numbers: 1, 2, 3, 4, &amp; 10. Negative Numbers on ROLL #01: 3, 4, 5, 6, &amp; 12. Taken from St. Clair Shores.  Gibbous phase.  First photo of Venus had significant vibration due to shutter.</t>
    </r>
  </si>
  <si>
    <r>
      <t>Imaging</t>
    </r>
    <r>
      <rPr>
        <sz val="10"/>
        <rFont val="Arial"/>
        <family val="2"/>
      </rPr>
      <t xml:space="preserve">: Took two image series with Rikoh body, Tri-X B&amp;W film (ISO400), and C8 at 12000mm (f/60) (probably really 10000mm (f/50). Times (EST): 20:04 &amp; 20:06. Exposures: 0.500 &amp; 0.500 seconds. Old image numbers: 16 &amp; 17. Negative Numbers on ROLL #01: 18 &amp; 19. </t>
    </r>
  </si>
  <si>
    <r>
      <t>Imaging</t>
    </r>
    <r>
      <rPr>
        <sz val="10"/>
        <rFont val="Arial"/>
        <family val="2"/>
      </rPr>
      <t xml:space="preserve">: Took four image series with Rikoh body, PanX B&amp;W film (ISO125), and C8 at 12000mm (f/60) (probably really 10000mm (f/50). Times (EST): 20:30, 20:31, 20:32 &amp; 20:51. Exposures: 0.500, 0.500, 1.000, &amp; 1.000 seconds. Old image numbers: 19, 20, 21, &amp; 27. Negative Numbers on ROLL #02: 2, 3, 4, &amp; 10. Taken from St. Clair Shores.  </t>
    </r>
  </si>
  <si>
    <r>
      <t>Imaging</t>
    </r>
    <r>
      <rPr>
        <sz val="10"/>
        <rFont val="Arial"/>
        <family val="2"/>
      </rPr>
      <t xml:space="preserve">: Took three image series with Rikoh body, PanX B&amp;W film (ISO125), and C8 at 12000mm (f/60) (probably really 10000mm (f/50). Times (EST): 19:41, 19:43, &amp; 19:45. Exposures: 0.500, 0.500, &amp; 0.500 seconds. Old image numbers: 28, 29, &amp; 30. Negative Numbers on ROLL #02: 11, 12, &amp; 13. Taken from St. Clair Shores.  </t>
    </r>
  </si>
  <si>
    <r>
      <rPr>
        <u/>
        <sz val="10"/>
        <rFont val="Arial"/>
        <family val="2"/>
      </rPr>
      <t>Imaging</t>
    </r>
    <r>
      <rPr>
        <sz val="10"/>
        <rFont val="Arial"/>
        <family val="2"/>
      </rPr>
      <t>: Took two video series with ToUcam 840 and C8 at 5500mm (f/27.5).  Seeing was moderately good, 3/5. First video series was 5 min (5x1min) with settings to best capture Saturn [9:25pm MDT].  Second video series consisted of two 1-minute videos with very high gain and gamma to try to capture nearby moons [9:37pm MDT].  One video was offset to the east and the other to the west.</t>
    </r>
  </si>
  <si>
    <r>
      <rPr>
        <u/>
        <sz val="10"/>
        <rFont val="Arial"/>
        <family val="2"/>
      </rPr>
      <t>Imaging</t>
    </r>
    <r>
      <rPr>
        <sz val="10"/>
        <rFont val="Arial"/>
        <family val="2"/>
      </rPr>
      <t>: Took first of two video series with ToUcam 840 and C8 at 5500mm (f/27.5).  Seeing was  fair, 2-3/5. First video series was 10 min (10x1min) with relatively high gamma and brightness.</t>
    </r>
  </si>
  <si>
    <r>
      <t>Imaging</t>
    </r>
    <r>
      <rPr>
        <sz val="10"/>
        <rFont val="Arial"/>
        <family val="2"/>
      </rPr>
      <t>: Took 2 min video of Io</t>
    </r>
  </si>
  <si>
    <r>
      <t>Imaging</t>
    </r>
    <r>
      <rPr>
        <sz val="10"/>
        <rFont val="Arial"/>
        <family val="2"/>
      </rPr>
      <t>: Took 2 min video of Ganymede and Callisto in same frame.</t>
    </r>
  </si>
  <si>
    <r>
      <t>Imaging</t>
    </r>
    <r>
      <rPr>
        <sz val="10"/>
        <rFont val="Arial"/>
        <family val="2"/>
      </rPr>
      <t>: Took 2 min video of Europa</t>
    </r>
  </si>
  <si>
    <t>Himalia</t>
  </si>
  <si>
    <t>Jupiter</t>
  </si>
  <si>
    <r>
      <t>Imaging</t>
    </r>
    <r>
      <rPr>
        <sz val="10"/>
        <rFont val="Arial"/>
        <family val="2"/>
      </rPr>
      <t>:</t>
    </r>
  </si>
  <si>
    <r>
      <t>Imaging</t>
    </r>
    <r>
      <rPr>
        <sz val="10"/>
        <color indexed="10"/>
        <rFont val="Arial"/>
        <family val="2"/>
      </rPr>
      <t>: NEED TO PRINT!!!!!</t>
    </r>
  </si>
  <si>
    <r>
      <t>Imaging</t>
    </r>
    <r>
      <rPr>
        <sz val="10"/>
        <rFont val="Arial"/>
        <family val="2"/>
      </rPr>
      <t>: Took series of 8 images at ring plne crossing with Ricoh 35mm camera and C8 at 40000mm EFL and ISO1600 film. Exposures were 2, 4, 6, 7, 3, 5, 5, and 7 seconds taken between 3:13 and 3:22am MDT. Roll 33. Negative numbers 3 through 10.</t>
    </r>
  </si>
  <si>
    <r>
      <t>Imaging</t>
    </r>
    <r>
      <rPr>
        <sz val="10"/>
        <rFont val="Arial"/>
        <family val="2"/>
      </rPr>
      <t>: Took series of 3 images at ring plne crossing with Ricoh 35mm camera and C8 at 7500mm EFL and ISO1600 film. Exposures were 60, 40, and 15 seconds taken between 3:27 and 3:30am MDT. Roll 33. Negative numbers 11 through 13.</t>
    </r>
  </si>
  <si>
    <r>
      <t>Imaging</t>
    </r>
    <r>
      <rPr>
        <sz val="10"/>
        <rFont val="Arial"/>
        <family val="2"/>
      </rPr>
      <t>: Took 12 minutes of video (6x2min) with ToUcam 840 and ST2000 at 5500mm (f27.5).  Seeing was very good (4/5) and transparency okay (3/5).  Center time of imaging was 9:50pm MST (uncorrected for offsets).  Seeing seemed to degrade substantially as the evening wore on so I did not attempt imaging again later as I originally planned.</t>
    </r>
  </si>
  <si>
    <t>Sun</t>
  </si>
  <si>
    <r>
      <rPr>
        <u/>
        <sz val="10"/>
        <rFont val="Arial"/>
        <family val="2"/>
      </rPr>
      <t>Visual</t>
    </r>
    <r>
      <rPr>
        <sz val="10"/>
        <rFont val="Arial"/>
        <family val="2"/>
      </rPr>
      <t>: (with ToUcam 840). First light for new solar filter.  Looked at region 1040 through heavy clouds.  Resolution and contrast poor (to be expected under the conditions). Plenty of signal for 2000mm and 5500mm FLs.</t>
    </r>
  </si>
  <si>
    <t>Sunspots</t>
  </si>
  <si>
    <t>Sunspots, faculae</t>
  </si>
  <si>
    <r>
      <rPr>
        <u/>
        <sz val="10"/>
        <rFont val="Arial"/>
        <family val="2"/>
      </rPr>
      <t>Imaging</t>
    </r>
    <r>
      <rPr>
        <sz val="10"/>
        <rFont val="Arial"/>
        <family val="2"/>
      </rPr>
      <t>: Took 10min video (5x2min; 4min before refocusing, 6 min after) with ToUcam 840 and C8 at 2000mm (f/10).  Seeing was 2-3/5, transparency 4/5.  Very good contrast and signal.</t>
    </r>
  </si>
  <si>
    <r>
      <rPr>
        <u/>
        <sz val="10"/>
        <rFont val="Arial"/>
        <family val="2"/>
      </rPr>
      <t>Imaging</t>
    </r>
    <r>
      <rPr>
        <sz val="10"/>
        <rFont val="Arial"/>
        <family val="2"/>
      </rPr>
      <t>: Took 6min video  with ToUcam 840 and C8 at 2000mm (f/10).  Seeing was 2-3/5, transparency 4/5.  Very good contrast and signal. Made assisted visual observation at 5500mm, but recorded video was too poor to be worth processing.</t>
    </r>
  </si>
  <si>
    <t>Status</t>
  </si>
  <si>
    <r>
      <rPr>
        <u/>
        <sz val="10"/>
        <rFont val="Arial"/>
        <family val="2"/>
      </rPr>
      <t>Imaging</t>
    </r>
    <r>
      <rPr>
        <sz val="10"/>
        <rFont val="Arial"/>
        <family val="2"/>
      </rPr>
      <t>: Took TBD min video  with ToUcam 840 and C8 at 2000mm (f/10).  Seeing was 2-3/5, transparency 4/5.  Took sequences of three active regions (11045 on the NW quadrant, 11046 on the NE quadrant, and 11047 on the SE quadrant).  Also took drift movie of 11045 to measure plate scale and sky-coords orientation. Made assisted visual observation at 5500mm, but recorded video was too poor to be worth processing.</t>
    </r>
  </si>
  <si>
    <t>N</t>
  </si>
  <si>
    <r>
      <t>Imaging</t>
    </r>
    <r>
      <rPr>
        <sz val="10"/>
        <rFont val="Arial"/>
        <family val="2"/>
      </rPr>
      <t>: Took TBD minutes of video (TBDx2min) with ToUcam 840 and ST2000 at 5500mm (f27.5).  Seeing was very good (5/5) and transparency poor and degrading (2/5).  Two movie series were made (06:17 and 06:45 UT Jan 31).  The latter was 8 min and the former was 10min (TBR).</t>
    </r>
  </si>
  <si>
    <r>
      <t xml:space="preserve">Date </t>
    </r>
    <r>
      <rPr>
        <b/>
        <sz val="12"/>
        <color indexed="9"/>
        <rFont val="Arial"/>
        <family val="2"/>
      </rPr>
      <t>(UT)</t>
    </r>
  </si>
  <si>
    <r>
      <t>Imaging</t>
    </r>
    <r>
      <rPr>
        <sz val="10"/>
        <rFont val="Arial"/>
        <family val="2"/>
      </rPr>
      <t>: Took 12 minutes of video (6x2min) with ToUcam 840 and ST2000 at 5500mm (f27.5).  Seeing was very good (4/5) along with transparency (4/5).  Center time of imaging was 9:15pm MST (uncorrected for offsets). May see Olympus Mons or related orographic clouds.</t>
    </r>
  </si>
  <si>
    <t>Ill. Frac.</t>
  </si>
  <si>
    <t>CM</t>
  </si>
  <si>
    <t>LS</t>
  </si>
  <si>
    <t>Phobos</t>
  </si>
  <si>
    <t>Deimos</t>
  </si>
  <si>
    <r>
      <t>Imaging</t>
    </r>
    <r>
      <rPr>
        <sz val="10"/>
        <rFont val="Arial"/>
        <family val="2"/>
      </rPr>
      <t>: FL 12000mm (f/60); ISO 64, Exp. [2,3,4,1] sec; color [Roll 6, Neg [5,6,7,8], Photo #[75,76,77,78] [03:18,03:20,03:21,03:23]</t>
    </r>
  </si>
  <si>
    <r>
      <t>Imaging</t>
    </r>
    <r>
      <rPr>
        <sz val="10"/>
        <rFont val="Arial"/>
        <family val="2"/>
      </rPr>
      <t>: FL 12000mm (f/60); ISO 100, Exp. 4 sec; color [Roll 5, Neg 10, Photo #67]</t>
    </r>
  </si>
  <si>
    <r>
      <t>Imaging</t>
    </r>
    <r>
      <rPr>
        <sz val="10"/>
        <rFont val="Arial"/>
        <family val="2"/>
      </rPr>
      <t>: FL 33400mm (f/167); ISO 64, Exp. [2,1,0.5,0.5] sec; color [Roll 6, Neg [11,12,13,14], Photo #[81,82,83,84] [03:44,03:46,03:52,03:56]</t>
    </r>
  </si>
  <si>
    <r>
      <t>Imaging</t>
    </r>
    <r>
      <rPr>
        <sz val="10"/>
        <rFont val="Arial"/>
        <family val="2"/>
      </rPr>
      <t>: FL 12000mm (f/60); ISO 125, Exp. [1,1,2,0.5,0.25,0.25] sec; color [Roll 7, Neg [3,4,5,6,7,8], Photo #[90,91,92,93,94,95] [00:40,00:41,00:42,00:44,00:45,00:46]</t>
    </r>
  </si>
  <si>
    <r>
      <t>Imaging</t>
    </r>
    <r>
      <rPr>
        <sz val="10"/>
        <rFont val="Arial"/>
        <family val="2"/>
      </rPr>
      <t>: FL 33400mm (f/167); ISO 125, Exp. [0.5,0.5,0.5,0.5] sec; color [Roll 7, Neg [14,15,16,17], Photo #[100,101,102,103] [01:00,01:03,01:04,01:07]</t>
    </r>
  </si>
  <si>
    <r>
      <t>Imaging</t>
    </r>
    <r>
      <rPr>
        <sz val="10"/>
        <rFont val="Arial"/>
        <family val="2"/>
      </rPr>
      <t>: Two 2 min videos of Copernicus. 5500mm (f/27.5); ToUcam 840.  Seeing 3/5. Trans. 4/5</t>
    </r>
  </si>
  <si>
    <r>
      <t>Imaging</t>
    </r>
    <r>
      <rPr>
        <sz val="10"/>
        <rFont val="Arial"/>
        <family val="2"/>
      </rPr>
      <t>: Took one video with video camera - afocal.</t>
    </r>
  </si>
  <si>
    <t>Lunation</t>
  </si>
  <si>
    <t>Sub Obs Lat</t>
  </si>
  <si>
    <t>Sub Obs Long</t>
  </si>
  <si>
    <t>Sun Alt.</t>
  </si>
  <si>
    <t>Sun Az.</t>
  </si>
  <si>
    <t>3.5</t>
  </si>
  <si>
    <r>
      <rPr>
        <u/>
        <sz val="10"/>
        <rFont val="Arial"/>
        <family val="2"/>
      </rPr>
      <t>Imaging</t>
    </r>
    <r>
      <rPr>
        <sz val="10"/>
        <rFont val="Arial"/>
        <family val="2"/>
      </rPr>
      <t>: Took 10min total, two frame video mosaic of region at 5500mm (f/27.5). Seeing 4/5, transparency 5/5. Include Mons Tenerife.</t>
    </r>
  </si>
  <si>
    <t>Feat. Size2 (km)</t>
  </si>
  <si>
    <t>Feat. Size1 (km)</t>
  </si>
  <si>
    <t>Moon Size</t>
  </si>
  <si>
    <t>Gassendi</t>
  </si>
  <si>
    <t>Ill. %</t>
  </si>
  <si>
    <r>
      <t>Imaging</t>
    </r>
    <r>
      <rPr>
        <sz val="10"/>
        <rFont val="Arial"/>
        <family val="2"/>
      </rPr>
      <t>: Took four 1 min videos with C8 at 5500mm (f/27.5).</t>
    </r>
  </si>
  <si>
    <t xml:space="preserve">Circular formation situated on the North bank of Mare Humorum. Steep slopes to the North gobbled to the South in Mare Humorum and supporting the couple Gassendi A and B to the North. Walls higher to the West and gobbled to the South in Mare Humorum. Very large flat floor covered by Rimae Gassendi. Internal mountainous ring. Double central mountain 1200 m high. Hills craterlets and lines of crest.
</t>
  </si>
  <si>
    <r>
      <t>Imaging</t>
    </r>
    <r>
      <rPr>
        <sz val="10"/>
        <rFont val="Arial"/>
        <family val="2"/>
      </rPr>
      <t>: Took one image with C8 at 33400mm (f/167) and Ricoh camera with ISO100 film (color?).  Exposure was 0.5 sec.  Image #112, Roll 8, Neg. 12.</t>
    </r>
  </si>
  <si>
    <r>
      <t>Visual</t>
    </r>
    <r>
      <rPr>
        <sz val="10"/>
        <rFont val="Arial"/>
        <family val="2"/>
      </rPr>
      <t>: See "Redbook". One sketch.  Needs updating in spreadsheet.</t>
    </r>
  </si>
  <si>
    <t>1986</t>
  </si>
  <si>
    <t>1990</t>
  </si>
  <si>
    <r>
      <t>Visual</t>
    </r>
    <r>
      <rPr>
        <sz val="10"/>
        <rFont val="Arial"/>
        <family val="2"/>
      </rPr>
      <t>: See "Redbook". Just mentioned in notes. Needs updating in spreadsheet.</t>
    </r>
  </si>
  <si>
    <r>
      <t>Imaging</t>
    </r>
    <r>
      <rPr>
        <sz val="10"/>
        <rFont val="Arial"/>
        <family val="2"/>
      </rPr>
      <t>: Took seven photos with C8 at 12000mm (f/60) with Ricoh and ISO 400 color negative film.  Taken from Houston (Bellefontaine?). Exposures: [1/4, 1/8, 1/16, 1/32, 1/64, 1/128,1/32]. Image #s: [177-183], Roll #15, Neg. #s: [7-13]. Times: [01:07-01:14 UT]</t>
    </r>
  </si>
  <si>
    <r>
      <t>Imaging</t>
    </r>
    <r>
      <rPr>
        <sz val="10"/>
        <rFont val="Arial"/>
        <family val="2"/>
      </rPr>
      <t>: Took series of 10 photos of close conjunction of Mars and Jupiter with C8 at 2000mm (f/10) and Ricoh camera with ISO 1600 color film.  Exposures: [1, 1/2, 1/4, 1/8, 2, 1, 1/2, 1/4, 4, 2], Image #s: [550-559], Roll #43, Neg. #s: [1-10], Times: [0:45-0:52 UT]</t>
    </r>
  </si>
  <si>
    <r>
      <t>Imaging</t>
    </r>
    <r>
      <rPr>
        <sz val="10"/>
        <rFont val="Arial"/>
        <family val="2"/>
      </rPr>
      <t>: First attempt at video of mars.  Used 40mm eyepiece. Video runs from 8:07:21 to 8:13:33pm (MDT).  Afocal technique. Not sure that these images were ever captured to computer or processed into a still.</t>
    </r>
  </si>
  <si>
    <r>
      <t>Visual</t>
    </r>
    <r>
      <rPr>
        <sz val="10"/>
        <rFont val="Arial"/>
        <family val="2"/>
      </rPr>
      <t>: Made three sketches of Mars through C8. All used 7.5mm EP.  Times: [10:11, 10:20, 10:25] UT. Filters: [None, Blue (80A), Orange (21)]</t>
    </r>
  </si>
  <si>
    <r>
      <t>Visual</t>
    </r>
    <r>
      <rPr>
        <sz val="10"/>
        <rFont val="Arial"/>
        <family val="2"/>
      </rPr>
      <t xml:space="preserve">: Made four sketches of Mars through C8. All used 7.5mm EP.  Times: [05:50, 05:55, 06:01, 06:06] UT. Filters: [None, Blue (80A), Orange (21), Green]. Then duplicated the sketches (probably after the fact) in a N-A inverted fashion.  </t>
    </r>
  </si>
  <si>
    <r>
      <t>Visual</t>
    </r>
    <r>
      <rPr>
        <sz val="10"/>
        <rFont val="Arial"/>
        <family val="2"/>
      </rPr>
      <t>: Made three sketches of Mars through C8. All used 7.5mm EP.  Times: [05:06, 05:35, 05:45] UT. Filters: [None, Orange (21), Blue (80A)]. No diagonal was used.</t>
    </r>
  </si>
  <si>
    <r>
      <t>Visual</t>
    </r>
    <r>
      <rPr>
        <sz val="10"/>
        <rFont val="Arial"/>
        <family val="2"/>
      </rPr>
      <t>: Made four sketches of Mars through C8. All used 7.5mm EP.  Times: [05:31, 05:35, 05:39, 05:43] UT. Filters: [None, Orange (21), Blue (80A), Green]. Then duplicated the sketches (probably after the fact) in a N-A inverted fashion.  No diagonal was used in the original sketches.</t>
    </r>
  </si>
  <si>
    <r>
      <t>Visual</t>
    </r>
    <r>
      <rPr>
        <sz val="10"/>
        <rFont val="Arial"/>
        <family val="2"/>
      </rPr>
      <t>: Made three sketches of Mars through C8. All used 7.5mm EP.  Times: [04:57, 05:01, 05:05] UT. Filters: [None, Orange (21), Blue (80A)]. No diagonal was used.</t>
    </r>
  </si>
  <si>
    <r>
      <t>Visual</t>
    </r>
    <r>
      <rPr>
        <sz val="10"/>
        <rFont val="Arial"/>
        <family val="2"/>
      </rPr>
      <t>: Made three sketches of Mars through C8. All used 7.5mm EP.  Times: [02:55, 03:02, 03:14] UT. Filters: [None, Orange (21), Blue (80A)]. No diagonal was used.</t>
    </r>
  </si>
  <si>
    <r>
      <t>Visual</t>
    </r>
    <r>
      <rPr>
        <sz val="10"/>
        <rFont val="Arial"/>
        <family val="2"/>
      </rPr>
      <t>: Made two sketches of Mars through C8. All used 7.5mm EP.  Times: [04:54, 05:00] UT. Filters: [None, Blue (80A)]. Used diagonal</t>
    </r>
  </si>
  <si>
    <r>
      <t>Visual</t>
    </r>
    <r>
      <rPr>
        <sz val="10"/>
        <rFont val="Arial"/>
        <family val="2"/>
      </rPr>
      <t>: Made one sketche of Mars through C8. All used 7.5mm EP.  Times: [04:50] UT. Filters: [?]. Used diagonal.</t>
    </r>
  </si>
  <si>
    <r>
      <t>Visual</t>
    </r>
    <r>
      <rPr>
        <sz val="10"/>
        <rFont val="Arial"/>
        <family val="2"/>
      </rPr>
      <t>: Made two sketches of Mars through C8. All used 7.5mm EP.  Times: [03:53, 04:00, 05:33] UT. Filters: [None, Orange (21)]. Checking against WinJUPOS, with South up and not mirror inverted, it looks like I definitively saw Syrtis Major, Mare Tyrrhenium (and Cimmerium) along with Boreosyrtis.</t>
    </r>
  </si>
  <si>
    <r>
      <t>Visual</t>
    </r>
    <r>
      <rPr>
        <sz val="10"/>
        <rFont val="Arial"/>
        <family val="2"/>
      </rPr>
      <t>: Made three sketches of Mars through C8. All used 7.5mm EP.  Times: [05:24, 05:29, 05:33] UT. Filters: [Orange (21), None, Blue (80A)]. Checking against WinJUPOS, with South up and not mirror inverted, it looks like I definitively saw Syrtis Major, Sinus Sabaeus/Meridiani, and Mare Acidillium.</t>
    </r>
  </si>
  <si>
    <r>
      <t>Visual</t>
    </r>
    <r>
      <rPr>
        <sz val="10"/>
        <rFont val="Arial"/>
        <family val="2"/>
      </rPr>
      <t>: Made three sketches of Mars through C8. All used 7.5mm EP.  Times: [04:10, 04:12, 04:16] UT. Filters: [None, Orange (21), Blue (80A)]. Checking against WinJUPOS, with South up and not mirror inverted, it looks like I may have seen Sinus Sabaeus/Meridiani and Mare Acidillium.</t>
    </r>
  </si>
  <si>
    <r>
      <t>Imaging</t>
    </r>
    <r>
      <rPr>
        <sz val="10"/>
        <rFont val="Arial"/>
        <family val="2"/>
      </rPr>
      <t>: Took four images of Mars using C8 at 12000mm (f/60) and Ricoh camera with ISO 400 film.  Exposures: [1/4, 1/2, 1, 1/2] sec, Times: [10:47-10:48], Image #s: [300-303], Roll #24, no Neg. #s given.  Comments: 300 - Slightly under exposed, maybe a little smeared or shows collimation error.  301 - Exposed about right. 302 - Over exposed.  Is smeared or has flare from collimation error. 303 - Exposed about right.</t>
    </r>
  </si>
  <si>
    <r>
      <t>Imaging</t>
    </r>
    <r>
      <rPr>
        <sz val="10"/>
        <rFont val="Arial"/>
        <family val="2"/>
      </rPr>
      <t xml:space="preserve">: Took three images of Mars using C8 at 40000mm (f/200) and Ricoh camera with ISO 1600 film.  Exposures: [1, 4, 2] sec, Times: [06:19-06:20], Image #s: [310-312], Roll #25, no Neg. #s given. </t>
    </r>
  </si>
  <si>
    <r>
      <t>Imaging</t>
    </r>
    <r>
      <rPr>
        <sz val="10"/>
        <rFont val="Arial"/>
        <family val="2"/>
      </rPr>
      <t>: Took six images of Mars using C8 at 40000mm (f/200) and Ricoh camera with ISO 1600 film.  Exposures: [1, 2, 2, 4, 3, 5] sec, Times: [5:21, 5:21, 5:33, 5:33, 5:47, 5:47], Image #s: [319-324], Roll #27, no Neg. #s given.  Last two images used blue (Wratten 80A) filters and images show the polar cap.</t>
    </r>
  </si>
  <si>
    <r>
      <t>Imaging</t>
    </r>
    <r>
      <rPr>
        <sz val="10"/>
        <rFont val="Arial"/>
        <family val="2"/>
      </rPr>
      <t xml:space="preserve">: Took three images of Mars using C8 at 40000mm (f/200) and Ricoh camera with ISO 1600 film.  Exposures: [1, 1.5, 2] sec, Times: [5:36-5:36], Image #s: [327-329], Roll #27, no Neg. #s given.  </t>
    </r>
  </si>
  <si>
    <r>
      <t>Imaging</t>
    </r>
    <r>
      <rPr>
        <sz val="10"/>
        <rFont val="Arial"/>
        <family val="2"/>
      </rPr>
      <t>: Took two images of Mars using C8 at 40000mm (f/200) and Ricoh camera with ISO 1600 film.  Exposures: [2, 4] sec, Times: [4:26-4:26], Image #s: [332-333], Roll #28, no Neg. #s given.  Polar cap just visible in both images.</t>
    </r>
  </si>
  <si>
    <r>
      <t>Imaging</t>
    </r>
    <r>
      <rPr>
        <sz val="10"/>
        <rFont val="Arial"/>
        <family val="2"/>
      </rPr>
      <t>: Took six images of Mars using C8 at 40000mm (f/200) and Ricoh camera with ISO 400 film.  Exposures: [3, 6, 3, 6, 2, 8 ] sec, Times: [3:15-3:17], Image #s: [350-355], Roll #30, Neg #s: [5-10].</t>
    </r>
  </si>
  <si>
    <r>
      <t>Imaging</t>
    </r>
    <r>
      <rPr>
        <sz val="10"/>
        <rFont val="Arial"/>
        <family val="2"/>
      </rPr>
      <t xml:space="preserve">: Took six images of Mars using C8 at 40000mm (f/200) and Ricoh camera with ISO 1600 film.  Exposures: [1, 1/2, 2, 4, 2, 1] sec, Times: [5:05, 5:05, 5:13, 5:13, 5:20, 5:20], Image #s: [334-339], Roll #28, no Neg. #s given. </t>
    </r>
  </si>
  <si>
    <r>
      <t>Imaging</t>
    </r>
    <r>
      <rPr>
        <sz val="10"/>
        <rFont val="Arial"/>
        <family val="2"/>
      </rPr>
      <t xml:space="preserve">: Took six images of Mars using C8 at 40000mm (f/200) and Ricoh camera with ISO 400 film.  Exposures: [3, 6, 2, 4, 6, 8] sec, Times: [3:14-3:17], Image #s: [356-361], Roll #30, Neg #s: [13-18].  </t>
    </r>
    <r>
      <rPr>
        <sz val="10"/>
        <color indexed="10"/>
        <rFont val="Arial"/>
        <family val="2"/>
      </rPr>
      <t>IS THIS REALLY 2/18 RATHER THAN 2/28???</t>
    </r>
  </si>
  <si>
    <r>
      <t>Visual</t>
    </r>
    <r>
      <rPr>
        <sz val="10"/>
        <rFont val="Arial"/>
        <family val="2"/>
      </rPr>
      <t>: Made one sketch of Mars through C8. All used 7.5mm EP.  Times: [04:40] UT. Filters: [None]. Used diagonal.</t>
    </r>
  </si>
  <si>
    <t>Lat.</t>
  </si>
  <si>
    <t>Long.</t>
  </si>
  <si>
    <t>Delt. Sig.</t>
  </si>
  <si>
    <t>Vis. Indx.</t>
  </si>
  <si>
    <r>
      <t>Imaging</t>
    </r>
    <r>
      <rPr>
        <sz val="10"/>
        <rFont val="Arial"/>
        <family val="2"/>
      </rPr>
      <t>: Four 2 min videos around Plato. 5500mm (f/27.5); ToUcam 840.  Seeing 3/5. Trans. 4/5</t>
    </r>
  </si>
  <si>
    <r>
      <rPr>
        <u/>
        <sz val="10"/>
        <rFont val="Arial"/>
        <family val="2"/>
      </rPr>
      <t>General</t>
    </r>
    <r>
      <rPr>
        <sz val="10"/>
        <rFont val="Arial"/>
        <family val="2"/>
      </rPr>
      <t>: Walled plain, 104x104km.</t>
    </r>
  </si>
  <si>
    <r>
      <rPr>
        <u/>
        <sz val="10"/>
        <rFont val="Arial"/>
        <family val="2"/>
      </rPr>
      <t>Imaging</t>
    </r>
    <r>
      <rPr>
        <sz val="10"/>
        <rFont val="Arial"/>
        <family val="2"/>
      </rPr>
      <t>: Took 3 photos of the waxing gibbous moon using C60 and afocal technique.   Note that labeled prints are mis-dated and indicate Aug. 15.</t>
    </r>
  </si>
  <si>
    <r>
      <rPr>
        <u/>
        <sz val="10"/>
        <rFont val="Arial"/>
        <family val="2"/>
      </rPr>
      <t>Imaging</t>
    </r>
    <r>
      <rPr>
        <sz val="10"/>
        <rFont val="Arial"/>
        <family val="2"/>
      </rPr>
      <t>: Time is approximate.</t>
    </r>
  </si>
  <si>
    <r>
      <rPr>
        <u/>
        <sz val="10"/>
        <rFont val="Arial"/>
        <family val="2"/>
      </rPr>
      <t>Imaging</t>
    </r>
    <r>
      <rPr>
        <sz val="10"/>
        <rFont val="Arial"/>
        <family val="2"/>
      </rPr>
      <t>: Calibrated in LTVT.</t>
    </r>
  </si>
  <si>
    <r>
      <rPr>
        <u/>
        <sz val="10"/>
        <rFont val="Arial"/>
        <family val="2"/>
      </rPr>
      <t>Imaging</t>
    </r>
    <r>
      <rPr>
        <sz val="10"/>
        <rFont val="Arial"/>
        <family val="2"/>
      </rPr>
      <t>: Time is approximate. Include Mons Tenerife.</t>
    </r>
  </si>
  <si>
    <r>
      <t>Imaging</t>
    </r>
    <r>
      <rPr>
        <sz val="10"/>
        <rFont val="Arial"/>
        <family val="2"/>
      </rPr>
      <t xml:space="preserve">: Took four TBD videos with C8 at TBD - part of Mare Humorium mosaic. </t>
    </r>
    <r>
      <rPr>
        <sz val="10"/>
        <color indexed="10"/>
        <rFont val="Arial"/>
        <family val="2"/>
      </rPr>
      <t>Need UT to do ephemeris-related columns. Time is approximate.</t>
    </r>
  </si>
  <si>
    <r>
      <rPr>
        <u/>
        <sz val="10"/>
        <rFont val="Arial"/>
        <family val="2"/>
      </rPr>
      <t>Imaging</t>
    </r>
    <r>
      <rPr>
        <sz val="10"/>
        <rFont val="Arial"/>
        <family val="2"/>
      </rPr>
      <t>: Took two frame mosaic (3min each?) of region at 5500mm (f/27.5). Seeing 4/5, transparency 4/5. Time is approximate.</t>
    </r>
  </si>
  <si>
    <r>
      <t>Imaging</t>
    </r>
    <r>
      <rPr>
        <sz val="10"/>
        <rFont val="Arial"/>
        <family val="2"/>
      </rPr>
      <t>: Took five AVI videos using ToUcam and VRecord. Total duration ~65 seconds.  30 fps, 1/25 sec exp., gain set to 1 'click' above the lowest value. FL=10000mm (f/50).  Full 640x480 frame resolution. Session started at 22:36 and ended at 22:52. Resolution appeared to be equivalent to 4.5" unobstructed aperture equivalent or about 1.2 arcseconds based on CalSky equivalent image appearance. Central Meridian was 63.3. Solis Lacus and Mare Erythraeum clearly visible.  Also visible was the south polar cap and the north polar hood. Appeared to be some clouds on both the eastern and western limbs.</t>
    </r>
  </si>
  <si>
    <r>
      <t>Imaging</t>
    </r>
    <r>
      <rPr>
        <sz val="10"/>
        <rFont val="Arial"/>
        <family val="2"/>
      </rPr>
      <t>: Took six 20sec AVI videos using ToUcam and K3CCDTools. Total duration 120 seconds.  30 fps, 1/33 sec exp., gain set to just below mid-level. Adjusted 'blue' down a bit for that high a gain. FL=10000mm (f/50).  Full 640x480 frame resolution. Resolution appeared to be equivalent to 4.5" unobstructed aperture equivalent or about 1.2 arcseconds based on CalSky equivalent image appearance. Central Meridian was 342.5. Arabia and Noachis were clearly visible in the central and southern portions of the disk.  Mare Erythraeum was visible on the east limb and Syrtis Major was visible on the west limb. The large dust storm was very bright and yellowish on the southeastern limb. Also visible was the south polar cap and the north polar hood. There appeared to be ice/CO2 morning clouds in the northern hemisphere.</t>
    </r>
  </si>
  <si>
    <r>
      <t>Imaging</t>
    </r>
    <r>
      <rPr>
        <sz val="10"/>
        <rFont val="Arial"/>
        <family val="2"/>
      </rPr>
      <t>: Took two AVI videos using ToUcam. Total duration ~20 seconds.  30 fps. FL=5500mm (f/27.5).  Full 640x480 frame resolution. Central Meridian was 56.5. DON'T SEEM TO HAVE AN IMAGE OR MARS MAP FOR THIS!!!</t>
    </r>
  </si>
  <si>
    <r>
      <t>Imaging</t>
    </r>
    <r>
      <rPr>
        <sz val="10"/>
        <rFont val="Arial"/>
        <family val="2"/>
      </rPr>
      <t xml:space="preserve">: Took six 20sec AVI videos using ToUcam and K3CCDTools. Total duration 120 seconds.  30 fps, 1/33 sec exp., gain set to just below mid-level. Adjusted 'blue' down a bit for that high a gain. FL=10000mm (f/50).  Full 640x480 frame resolution.  Resolution appeared to be equivalent to 4.5" unobstructed aperture equivalent or about 1.2 arcseconds based on CalSky equivalent image appearance. Central Meridian was TBD. </t>
    </r>
  </si>
  <si>
    <r>
      <rPr>
        <u/>
        <sz val="10"/>
        <rFont val="Arial"/>
        <family val="2"/>
      </rPr>
      <t>Imaging</t>
    </r>
    <r>
      <rPr>
        <sz val="10"/>
        <rFont val="Arial"/>
        <family val="2"/>
      </rPr>
      <t>:</t>
    </r>
  </si>
  <si>
    <t>IMAGE MISSING FROM WORK DIRECTORY REFERENCED BY WINJUPOS</t>
  </si>
  <si>
    <r>
      <t>Imaging</t>
    </r>
    <r>
      <rPr>
        <sz val="10"/>
        <rFont val="Arial"/>
        <family val="2"/>
      </rPr>
      <t>: Took 14 minutes of video (7x2min) with ToUcam 840 and ST2000 at 5500mm (f27.5).  Seeing was very good (4/5) along with transparency (4/5).</t>
    </r>
  </si>
  <si>
    <r>
      <t>Imaging</t>
    </r>
    <r>
      <rPr>
        <sz val="10"/>
        <rFont val="Arial"/>
        <family val="2"/>
      </rPr>
      <t xml:space="preserve">: Took 12 minutes of video (6x2min) with ToUcam 840 and ST2000 at 5500mm (f27.5).  Seeing was very good (3/5) along with transparency (4/5).  </t>
    </r>
  </si>
  <si>
    <r>
      <t>Imaging</t>
    </r>
    <r>
      <rPr>
        <sz val="10"/>
        <rFont val="Arial"/>
        <family val="2"/>
      </rPr>
      <t xml:space="preserve">: Took 16 minutes of video (8x2min) with ToUcam 840 and ST2000 at 5500mm (f27.5).  Seeing was very good (3/5) along with transparency (4/5).  </t>
    </r>
  </si>
  <si>
    <t>Dec. of Sun</t>
  </si>
  <si>
    <t>Dec. of Earth</t>
  </si>
  <si>
    <r>
      <t>Visual</t>
    </r>
    <r>
      <rPr>
        <sz val="10"/>
        <rFont val="Arial"/>
        <family val="2"/>
      </rPr>
      <t xml:space="preserve">: "I observed Mars at around 5:00am EDT and made a 3" drawing later in the morning. Mars was about 6 arc sec in diameter." There appear to be many tiny sketches, some in the black notebook and some on card stock at different times. The 3" drawing was apparently made to represent the view at about 5am.  </t>
    </r>
  </si>
  <si>
    <t>Sol No.</t>
  </si>
  <si>
    <r>
      <t>Visual</t>
    </r>
    <r>
      <rPr>
        <sz val="10"/>
        <rFont val="Arial"/>
        <family val="2"/>
      </rPr>
      <t>: Observed Mars in 8" SCT. It seems that I made a number of small sketches on heavy paper from cigarette cartons. From these I created a single finished sketch in the 'black book' along with a 3" color pastel sketch.  The date/time info, and even the details, on the original sketches seem somewhat uncertain. Solar longitude was 279 deg.Also observed Venus on this morning.</t>
    </r>
  </si>
  <si>
    <r>
      <t>Imaging</t>
    </r>
    <r>
      <rPr>
        <sz val="10"/>
        <rFont val="Arial"/>
        <family val="2"/>
      </rPr>
      <t>: FL 33400mm (f/167); ISO 100, Exp. 10 sec; color [Roll 4, Neg 19, Photo #56]. Time of 6:25am (assume EDT).</t>
    </r>
  </si>
  <si>
    <r>
      <t>Visual</t>
    </r>
    <r>
      <rPr>
        <sz val="10"/>
        <rFont val="Arial"/>
        <family val="2"/>
      </rPr>
      <t>: Observed Mars at 450x with C8. Blackbook says 6:30am (probably EDT) however, 3" sketch says 4:30am!  I think the later number is probably right. Small sketch in black book along with 3" drawing.</t>
    </r>
  </si>
  <si>
    <r>
      <t>Visual</t>
    </r>
    <r>
      <rPr>
        <sz val="10"/>
        <rFont val="Arial"/>
        <family val="2"/>
      </rPr>
      <t>: Observed Mars at 450x with C8. Time 7:00am EDT / 6:00am EST. Small sketch in black book along with 3" drawing.</t>
    </r>
  </si>
  <si>
    <r>
      <t>Visual</t>
    </r>
    <r>
      <rPr>
        <sz val="10"/>
        <rFont val="Arial"/>
        <family val="2"/>
      </rPr>
      <t>: Two small sketches in black book along with 3" drawing.</t>
    </r>
  </si>
  <si>
    <r>
      <t>Visual</t>
    </r>
    <r>
      <rPr>
        <sz val="10"/>
        <rFont val="Arial"/>
        <family val="2"/>
      </rPr>
      <t xml:space="preserve">: Observed from 9:46 to 10:05pm EST.  Made a small sketch in black book an 3" drawing. </t>
    </r>
    <r>
      <rPr>
        <b/>
        <sz val="10"/>
        <rFont val="Arial"/>
        <family val="2"/>
      </rPr>
      <t>May be detection of Syrtis Major (N up, mirror inverted).</t>
    </r>
  </si>
  <si>
    <r>
      <t>Visual</t>
    </r>
    <r>
      <rPr>
        <sz val="10"/>
        <rFont val="Arial"/>
        <family val="2"/>
      </rPr>
      <t>: Observed Mars at 225x and made a small sketch in black book and a 3" drawing. Drawing appears to be mirror-reversed from sketch.</t>
    </r>
  </si>
  <si>
    <r>
      <t>Visual</t>
    </r>
    <r>
      <rPr>
        <sz val="10"/>
        <rFont val="Arial"/>
        <family val="2"/>
      </rPr>
      <t xml:space="preserve">: Observed Mars at 225x and made a small sketch in black book and a 3" drawing. </t>
    </r>
  </si>
  <si>
    <r>
      <t>Visual</t>
    </r>
    <r>
      <rPr>
        <sz val="10"/>
        <rFont val="Arial"/>
        <family val="2"/>
      </rPr>
      <t>: Made rough sketch in black book using 9mm EP (226x).  Noted time as 9:15pm E</t>
    </r>
    <r>
      <rPr>
        <b/>
        <sz val="10"/>
        <rFont val="Arial"/>
        <family val="2"/>
      </rPr>
      <t>S</t>
    </r>
    <r>
      <rPr>
        <sz val="10"/>
        <rFont val="Arial"/>
        <family val="2"/>
      </rPr>
      <t>T, but probably should have been E</t>
    </r>
    <r>
      <rPr>
        <b/>
        <sz val="10"/>
        <rFont val="Arial"/>
        <family val="2"/>
      </rPr>
      <t>D</t>
    </r>
    <r>
      <rPr>
        <sz val="10"/>
        <rFont val="Arial"/>
        <family val="2"/>
      </rPr>
      <t>T.  UT time is based on EDT.  "Mars showed detail (brownish-green) near the equatorial and N polar areas." Later I made a better sketch in the black book.</t>
    </r>
  </si>
  <si>
    <r>
      <t>Visual</t>
    </r>
    <r>
      <rPr>
        <sz val="10"/>
        <rFont val="Arial"/>
        <family val="2"/>
      </rPr>
      <t>: Made rough sketch in black book using 9mm EP (226x).  UT time is based on EDT.  "Mars had a bright spot in theupper right part of its disk."</t>
    </r>
  </si>
  <si>
    <r>
      <t>Visual</t>
    </r>
    <r>
      <rPr>
        <sz val="10"/>
        <rFont val="Arial"/>
        <family val="2"/>
      </rPr>
      <t>: Made rough sketch in black book using 9mm EP (226x).  UT time is based on EDT.  Month in black book is noted as May, but should be June for a number of reasons. "Mars seemed small compared to its recent opposition." Later I made a better sketch in the black book.</t>
    </r>
  </si>
  <si>
    <r>
      <t>Visual</t>
    </r>
    <r>
      <rPr>
        <sz val="10"/>
        <rFont val="Arial"/>
        <family val="2"/>
      </rPr>
      <t>: Observed Mars at 225x and made a small sketch in black book and a 3" drawing. "When I looked at Mars I was surprised because Mars detail was sort of mottled and large.  Most of the surface was covered with dark markings."</t>
    </r>
  </si>
  <si>
    <r>
      <t>Visual</t>
    </r>
    <r>
      <rPr>
        <sz val="10"/>
        <rFont val="Arial"/>
        <family val="2"/>
      </rPr>
      <t>: Observed Mars at 225x and made a small sketch in black book and a 3" drawing. "Mars was beautiful, sharp and detailed.  Both poles were sort of small and had a dark band where they meet the read areas.  It was spectacular because there were bright stars right near Mars."</t>
    </r>
  </si>
  <si>
    <r>
      <t>Visual</t>
    </r>
    <r>
      <rPr>
        <sz val="10"/>
        <rFont val="Arial"/>
        <family val="2"/>
      </rPr>
      <t>: Observed Mars at 162x with C8. Small sketch in black book and 3" drawing. "Mars and Jupiter were spectacularly resolved." In WINJupos assumed south up, not inverted.</t>
    </r>
  </si>
  <si>
    <r>
      <t>Visual</t>
    </r>
    <r>
      <rPr>
        <sz val="10"/>
        <rFont val="Arial"/>
        <family val="2"/>
      </rPr>
      <t>: Observed Mars at 226x with C8. Small sketch in black book and 3" drawing. "Mars and Jupiter were spectacularly resolved." In WINJupos assumed south up, not inverted.</t>
    </r>
  </si>
  <si>
    <r>
      <t>Visual</t>
    </r>
    <r>
      <rPr>
        <sz val="10"/>
        <rFont val="Arial"/>
        <family val="2"/>
      </rPr>
      <t>: Observed Mars at 452x with C8. Small sketch in black book and 3" drawing. "Mars and Jupiter were spectacularly resolved." In WINJupos assumed south up, not inverted.</t>
    </r>
  </si>
  <si>
    <r>
      <t>Visual</t>
    </r>
    <r>
      <rPr>
        <sz val="10"/>
        <rFont val="Arial"/>
        <family val="2"/>
      </rPr>
      <t>: Observed Mars at 452x and orange filter with C8. Small sketch in black book and 3" drawing. "Mars and Jupiter were spectacularly resolved." In WINJupos assumed south up, not inverted.</t>
    </r>
  </si>
  <si>
    <t>Res. El. (R_mars)</t>
  </si>
  <si>
    <t>Native Res.</t>
  </si>
  <si>
    <t>Air Mass (Pickering, 2002)</t>
  </si>
  <si>
    <t>Obs. Qual.</t>
  </si>
  <si>
    <t>5/5</t>
  </si>
  <si>
    <r>
      <t>Visual</t>
    </r>
    <r>
      <rPr>
        <sz val="10"/>
        <rFont val="Arial"/>
        <family val="2"/>
      </rPr>
      <t>: Viewed with 40mm and 7.5mm eyepiece at very low elevation from YMCA of the Rockies (Estes Park). Seeing was essentially perfect, 5/5. Time is only approximate.  Viewed on father-and-sons weekend.</t>
    </r>
  </si>
  <si>
    <r>
      <t>Visual</t>
    </r>
    <r>
      <rPr>
        <sz val="10"/>
        <rFont val="Arial"/>
        <family val="2"/>
      </rPr>
      <t>: Viewed with 40mm and 7.5mm eyepiece at very low elevation from YMCA of the Rockies (Estes Park). Seeing was essentially perfect, 5/5. Time is only approximate.  Viewed on father-and-sons weekend. Saw several moons (4-5), but not sure which ones.</t>
    </r>
  </si>
  <si>
    <t>Y</t>
  </si>
  <si>
    <r>
      <t>Visual</t>
    </r>
    <r>
      <rPr>
        <sz val="10"/>
        <rFont val="Arial"/>
        <family val="2"/>
      </rPr>
      <t>: Viewed with 40mm and 7.5mm eyepiece at very low elevation from YMCA of the Rockies (Estes Park). Seeing was essentially perfect, 5/5. Time is only approximate.  Viewed on father-and-sons weekend. Many craters, rilles, and domes visible.</t>
    </r>
  </si>
  <si>
    <t>Furnerius</t>
  </si>
  <si>
    <r>
      <t>Imaging</t>
    </r>
    <r>
      <rPr>
        <sz val="10"/>
        <rFont val="Arial"/>
        <family val="2"/>
      </rPr>
      <t>: 2 min (2x60sec) videos at 5500mm (f/27.5).  Black and white.</t>
    </r>
  </si>
  <si>
    <t>Langrenus</t>
  </si>
  <si>
    <t>Mare Crisium</t>
  </si>
  <si>
    <t>Mare</t>
  </si>
  <si>
    <r>
      <t>Imaging</t>
    </r>
    <r>
      <rPr>
        <sz val="10"/>
        <rFont val="Arial"/>
        <family val="2"/>
      </rPr>
      <t>: Took 8 min of video (2x60 seconds by mosaic of four frames) with C8 and ToUcam 840 at 5500mm (f/27.5).  Small gap of imaging in middle of mare.</t>
    </r>
  </si>
  <si>
    <t>Taruntius</t>
  </si>
  <si>
    <t>Atlas</t>
  </si>
  <si>
    <r>
      <t>Imaging</t>
    </r>
    <r>
      <rPr>
        <sz val="10"/>
        <rFont val="Arial"/>
        <family val="2"/>
      </rPr>
      <t>: Took seriesof Red and UV (Astrodon) images with ST2000 and C8 at 5500mm.  Total images: 589. Seeing was 4/5. Transparency 2/5 (wandering cumulus). Tccd=5C (fan ON). Obs start at 5:14pm MDT Obs end at 6:04pm MDT. Don't forget to take out vertical flip from Registax.</t>
    </r>
  </si>
  <si>
    <r>
      <t>Imaging</t>
    </r>
    <r>
      <rPr>
        <sz val="10"/>
        <rFont val="Arial"/>
        <family val="2"/>
      </rPr>
      <t>: Took series of Red and UV (Astrodon) images with ST2000 and C8 at 5500mm.  Total frames: 763. Seeing 3/5. Tccd=0C (fan OFF). Transparency 3/5. Red images were set to 10 ms exposure and UV were set to 300ms.  Obs start 4:23pm MDT Obs end 5:22pm MDT.</t>
    </r>
  </si>
  <si>
    <r>
      <t>Imaging</t>
    </r>
    <r>
      <rPr>
        <sz val="10"/>
        <rFont val="Arial"/>
        <family val="2"/>
      </rPr>
      <t xml:space="preserve">: Took series of 100 Red and 282 UV (Astrodon) images with ST2000 and C8 at 5500mm.  Seeing 3/5. Tccd=0C (fan OFF). Transparency 3/5. Red images were set to 10 ms exposure and UV were set to 300ms. </t>
    </r>
  </si>
  <si>
    <r>
      <t>Imaging</t>
    </r>
    <r>
      <rPr>
        <sz val="10"/>
        <rFont val="Arial"/>
        <family val="2"/>
      </rPr>
      <t>: Took series of Red and UV (Astrodon) images with ST2000 and C8 at 5500mm.  Total frames: 1140. Seeing 3/5. Tccd=0C (fan OFF). Transparency 3/5. Red images were set to 10 ms exposure and UV were set to 300ms. Obs start 4:37pm MDT Obs end 6:06pm MDT</t>
    </r>
  </si>
  <si>
    <r>
      <rPr>
        <u/>
        <sz val="10"/>
        <rFont val="Arial"/>
        <family val="2"/>
      </rPr>
      <t>Imaging</t>
    </r>
    <r>
      <rPr>
        <sz val="10"/>
        <rFont val="Arial"/>
        <family val="2"/>
      </rPr>
      <t>: Took five(?) two min videos with ToUcam 840 and C8 at 2000mm (f/10).  Seeing was 3/5, transparency 4/5.  Images were of active region 11108.  NEED BETTER VIDEO TIMES.</t>
    </r>
  </si>
  <si>
    <r>
      <t>Imaging</t>
    </r>
    <r>
      <rPr>
        <sz val="10"/>
        <rFont val="Arial"/>
        <family val="2"/>
      </rPr>
      <t>: Took four two minute videos of Gassendi and surrounding area. Seeing 4/5. Transparency 5/5.  Lots of rilles visible in processed images.</t>
    </r>
  </si>
  <si>
    <t>Kepler</t>
  </si>
  <si>
    <r>
      <t>Imaging</t>
    </r>
    <r>
      <rPr>
        <sz val="10"/>
        <rFont val="Arial"/>
        <family val="2"/>
      </rPr>
      <t xml:space="preserve">: Took one two minute video of Kepler. Ejecta blanket clearly visible. Seeing 4/5. Transparency 5/5.  </t>
    </r>
  </si>
  <si>
    <t>Domes (as yet unidentified)</t>
  </si>
  <si>
    <r>
      <t>Imaging</t>
    </r>
    <r>
      <rPr>
        <sz val="10"/>
        <rFont val="Arial"/>
        <family val="2"/>
      </rPr>
      <t xml:space="preserve">: Took one two minute videos Seeing 4/5. Transparency 5/5.  </t>
    </r>
  </si>
  <si>
    <r>
      <rPr>
        <u/>
        <sz val="10"/>
        <rFont val="Arial"/>
        <family val="2"/>
      </rPr>
      <t>Imaging</t>
    </r>
    <r>
      <rPr>
        <sz val="10"/>
        <rFont val="Arial"/>
        <family val="2"/>
      </rPr>
      <t>: Took five(?) two min videos with ToUcam 840 and C8 at 5500mm (f/27.5).  Seeing was 3/5, transparency 4/5.  Images were of active region 11108 and 11109.  NEED BETTER VIDEO TIMES.</t>
    </r>
  </si>
  <si>
    <t>???</t>
  </si>
  <si>
    <r>
      <t>Imaging</t>
    </r>
    <r>
      <rPr>
        <sz val="10"/>
        <rFont val="Arial"/>
        <family val="2"/>
      </rPr>
      <t>. Took six(?) two minute videos of Uranus using the C8 at 5500mm (f/27.5) and the ToUcam 840.  Seeing was quite good (3.5/5) and transparency was 4/5.</t>
    </r>
  </si>
  <si>
    <r>
      <rPr>
        <u/>
        <sz val="10"/>
        <rFont val="Arial"/>
        <family val="2"/>
      </rPr>
      <t>Imaging</t>
    </r>
    <r>
      <rPr>
        <sz val="10"/>
        <rFont val="Arial"/>
        <family val="2"/>
      </rPr>
      <t>: Took 3x2min videos of Jupiter. Seeing 4/5. Transparency 5/5. NEED BETTER VIDEO TIME AND MOON IDS.</t>
    </r>
  </si>
  <si>
    <r>
      <rPr>
        <u/>
        <sz val="10"/>
        <rFont val="Arial"/>
        <family val="2"/>
      </rPr>
      <t>Imaging</t>
    </r>
    <r>
      <rPr>
        <sz val="10"/>
        <rFont val="Arial"/>
        <family val="2"/>
      </rPr>
      <t>: Took 3x2min videos of Jupiter. Seeing 4/5. Transparency 5/5.</t>
    </r>
  </si>
  <si>
    <r>
      <rPr>
        <u/>
        <sz val="10"/>
        <rFont val="Arial"/>
        <family val="2"/>
      </rPr>
      <t>Imaging</t>
    </r>
    <r>
      <rPr>
        <sz val="10"/>
        <rFont val="Arial"/>
        <family val="2"/>
      </rPr>
      <t xml:space="preserve">: Took 3x2min videos of Ganymede. Seeing 4/5. Transparency 5/5. </t>
    </r>
  </si>
  <si>
    <r>
      <rPr>
        <u/>
        <sz val="10"/>
        <rFont val="Arial"/>
        <family val="2"/>
      </rPr>
      <t>Imaging</t>
    </r>
    <r>
      <rPr>
        <sz val="10"/>
        <rFont val="Arial"/>
        <family val="2"/>
      </rPr>
      <t>: Took 3x2min videos of Jupiter. Seeing 3.5/5. Included Europa beginning to transit. GRS visible. Transparency 5/5. NEED BETTER VIDEO TIME.</t>
    </r>
  </si>
  <si>
    <r>
      <rPr>
        <u/>
        <sz val="10"/>
        <rFont val="Arial"/>
        <family val="2"/>
      </rPr>
      <t>Imaging</t>
    </r>
    <r>
      <rPr>
        <sz val="10"/>
        <rFont val="Arial"/>
        <family val="2"/>
      </rPr>
      <t>: Took TBD? 2min videos of Io and Ganymede in same FOV. Seeing 4/5. Transparency 5/5. NEED BETTER VIDEO TIME.</t>
    </r>
  </si>
  <si>
    <r>
      <rPr>
        <u/>
        <sz val="10"/>
        <rFont val="Arial"/>
        <family val="2"/>
      </rPr>
      <t>Imaging</t>
    </r>
    <r>
      <rPr>
        <sz val="10"/>
        <rFont val="Arial"/>
        <family val="2"/>
      </rPr>
      <t>: Took 3x2min videos of Jupiter. Seeing 4/5. Europa in transit and with a shadow. GRS visible. Transparency 5/5. NEED BETTER VIDEO TIME.</t>
    </r>
  </si>
  <si>
    <t>Petavius</t>
  </si>
  <si>
    <r>
      <rPr>
        <u/>
        <sz val="10"/>
        <rFont val="Arial"/>
        <family val="2"/>
      </rPr>
      <t>Imaging</t>
    </r>
    <r>
      <rPr>
        <sz val="10"/>
        <rFont val="Arial"/>
        <family val="2"/>
      </rPr>
      <t>: Took 3 min video at 5500mm (f/27.5)</t>
    </r>
  </si>
  <si>
    <r>
      <rPr>
        <u/>
        <sz val="10"/>
        <rFont val="Arial"/>
        <family val="2"/>
      </rPr>
      <t>Imaging</t>
    </r>
    <r>
      <rPr>
        <sz val="10"/>
        <rFont val="Arial"/>
        <family val="2"/>
      </rPr>
      <t xml:space="preserve">: Took 3x2min videos of Jupiter. Seeing 4/5. Transparency 5/5. </t>
    </r>
  </si>
  <si>
    <t>CM I</t>
  </si>
  <si>
    <t>CM III</t>
  </si>
  <si>
    <t>CM II</t>
  </si>
  <si>
    <t>A20:30 5500mm</t>
  </si>
  <si>
    <t>Good Eastern libration…</t>
  </si>
  <si>
    <t>Cassini</t>
  </si>
  <si>
    <t>Mons Hadley</t>
  </si>
  <si>
    <t>Alpine Valley</t>
  </si>
  <si>
    <t>Valley</t>
  </si>
  <si>
    <t>Manilius</t>
  </si>
  <si>
    <t>Rima Ariadaeus</t>
  </si>
  <si>
    <t>General: Floor-fractured crater.</t>
  </si>
  <si>
    <t>Height (km)</t>
  </si>
  <si>
    <r>
      <t>Imaging</t>
    </r>
    <r>
      <rPr>
        <sz val="10"/>
        <rFont val="Arial"/>
        <family val="2"/>
      </rPr>
      <t>: Took 2 min video with C8 at 5500mm (f/27.5) and ToUcam of Atlas and Hercules.</t>
    </r>
  </si>
  <si>
    <r>
      <t>Imaging</t>
    </r>
    <r>
      <rPr>
        <sz val="10"/>
        <rFont val="Arial"/>
        <family val="2"/>
      </rPr>
      <t>: 2 min (2x60sec) videos at 5500mm (f/27.5) of Atlas and Hercules.  Black and white.</t>
    </r>
  </si>
  <si>
    <t>Hercules</t>
  </si>
  <si>
    <t>Alfraganus</t>
  </si>
  <si>
    <r>
      <rPr>
        <u/>
        <sz val="10"/>
        <rFont val="Arial"/>
        <family val="2"/>
      </rPr>
      <t>General</t>
    </r>
    <r>
      <rPr>
        <sz val="10"/>
        <rFont val="Arial"/>
        <family val="2"/>
      </rPr>
      <t>: Near Apollo 16.</t>
    </r>
  </si>
  <si>
    <t>P</t>
  </si>
  <si>
    <r>
      <rPr>
        <u/>
        <sz val="10"/>
        <rFont val="Arial"/>
        <family val="2"/>
      </rPr>
      <t>Imaging</t>
    </r>
    <r>
      <rPr>
        <sz val="10"/>
        <rFont val="Arial"/>
        <family val="2"/>
      </rPr>
      <t>: Took one 2 min videos with C8 at 5500mm (f/27.5) and ToUcam. Original video named Poseidonus…0002.</t>
    </r>
  </si>
  <si>
    <t>Serenity</t>
  </si>
  <si>
    <r>
      <t>Imaging</t>
    </r>
    <r>
      <rPr>
        <sz val="10"/>
        <rFont val="Arial"/>
        <family val="2"/>
      </rPr>
      <t xml:space="preserve">: Took series of six 2min. videos of Ariadaeus,  Hyginus, and Trisnecker Rilles with C8 at 5500mm (f/27.5) and ToUcam.  First two were centered on Ariadaeus, second two on Hyginus, and last three on Trisnecker. </t>
    </r>
  </si>
  <si>
    <r>
      <rPr>
        <u/>
        <sz val="10"/>
        <rFont val="Arial"/>
        <family val="2"/>
      </rPr>
      <t>Imaging</t>
    </r>
    <r>
      <rPr>
        <sz val="10"/>
        <rFont val="Arial"/>
        <family val="2"/>
      </rPr>
      <t>: Took five two min videos with ToUcam 840 and C8 at 2000mm (f/10).  Seeing was 3/5, transparency 4/5.  Images were of active region 11108.</t>
    </r>
  </si>
  <si>
    <t>Archimedes</t>
  </si>
  <si>
    <r>
      <rPr>
        <u/>
        <sz val="10"/>
        <rFont val="Arial"/>
        <family val="2"/>
      </rPr>
      <t>Imaging</t>
    </r>
    <r>
      <rPr>
        <sz val="10"/>
        <rFont val="Arial"/>
        <family val="2"/>
      </rPr>
      <t>: Included Mons Spitzbergen</t>
    </r>
  </si>
  <si>
    <r>
      <rPr>
        <u/>
        <sz val="10"/>
        <rFont val="Arial"/>
        <family val="2"/>
      </rPr>
      <t>Imaging</t>
    </r>
    <r>
      <rPr>
        <sz val="10"/>
        <rFont val="Arial"/>
        <family val="2"/>
      </rPr>
      <t>: Quite good seeing 4/5.</t>
    </r>
  </si>
  <si>
    <r>
      <t>Imaging</t>
    </r>
    <r>
      <rPr>
        <sz val="10"/>
        <rFont val="Arial"/>
        <family val="2"/>
      </rPr>
      <t>: Six 2 min videos around Plato. 5500mm (f/27.5); ToUcam 840.  Seeing 4/5. Trans. 4/5 Includes Alpine Valley.</t>
    </r>
  </si>
  <si>
    <r>
      <rPr>
        <u/>
        <sz val="10"/>
        <rFont val="Arial"/>
        <family val="2"/>
      </rPr>
      <t>General</t>
    </r>
    <r>
      <rPr>
        <sz val="10"/>
        <rFont val="Arial"/>
        <family val="2"/>
      </rPr>
      <t>: TBD</t>
    </r>
  </si>
  <si>
    <t>Type(s)</t>
  </si>
  <si>
    <t>Subtype(s)</t>
  </si>
  <si>
    <t>FFC</t>
  </si>
  <si>
    <t>Filled</t>
  </si>
  <si>
    <r>
      <rPr>
        <u/>
        <sz val="10"/>
        <rFont val="Arial"/>
        <family val="2"/>
      </rPr>
      <t>Imaging</t>
    </r>
    <r>
      <rPr>
        <sz val="10"/>
        <rFont val="Arial"/>
        <family val="2"/>
      </rPr>
      <t>: Part of a mosaic of Dorsa Smirnov.</t>
    </r>
  </si>
  <si>
    <r>
      <t>Imaging</t>
    </r>
    <r>
      <rPr>
        <sz val="10"/>
        <rFont val="Arial"/>
        <family val="2"/>
      </rPr>
      <t>: Mosaic of two frames at 2000mm (f/10). Includes Tycho.</t>
    </r>
  </si>
  <si>
    <r>
      <rPr>
        <u/>
        <sz val="10"/>
        <rFont val="Arial"/>
        <family val="2"/>
      </rPr>
      <t>Imaging</t>
    </r>
    <r>
      <rPr>
        <sz val="10"/>
        <rFont val="Arial"/>
        <family val="2"/>
      </rPr>
      <t>: Took 2 min video with C8 at 5500mm (f/27.5).</t>
    </r>
  </si>
  <si>
    <t>General: Damaged circular formation. Steep slopes riddled supporting crater Blancanus to the South-West. Very high walls ridden by Porter to the North-East Rutherford to the South-East Clavius K to the South-West and Clavius L to the West. Large flat floor with Clavius D C N J &amp; JA on an arc of circle. Numerous craterlets whose a chain to the South-West. Lines of crests.</t>
  </si>
  <si>
    <r>
      <rPr>
        <u/>
        <sz val="10"/>
        <rFont val="Arial"/>
        <family val="2"/>
      </rPr>
      <t>General</t>
    </r>
    <r>
      <rPr>
        <sz val="10"/>
        <rFont val="Arial"/>
        <family val="2"/>
      </rPr>
      <t>: Circular formation. Steep slopes supporting Mount Archimedes to the South and Bancroft to the South-West. Pretty high walls in terraces. Very flat floor and widened filled with lava. Craterlets.</t>
    </r>
  </si>
  <si>
    <r>
      <rPr>
        <u/>
        <sz val="10"/>
        <rFont val="Arial"/>
        <family val="2"/>
      </rPr>
      <t>General</t>
    </r>
    <r>
      <rPr>
        <sz val="10"/>
        <rFont val="Arial"/>
        <family val="2"/>
      </rPr>
      <t>: Circular formation situated to the South extremity of Montes Apenninus. Very steep slopes and tormented especially to the South. Very high walls with terraces. Few extensive and flat floor. Central mountain with several summits. Wrinkle ridges hills and rilles.</t>
    </r>
  </si>
  <si>
    <t>Time is approximate.</t>
  </si>
  <si>
    <r>
      <rPr>
        <u/>
        <sz val="10"/>
        <rFont val="Arial"/>
        <family val="2"/>
      </rPr>
      <t>General</t>
    </r>
    <r>
      <rPr>
        <sz val="10"/>
        <rFont val="Arial"/>
        <family val="2"/>
      </rPr>
      <t>: Circular formation. Steep slopes supporting Cassini M to the North-West. Few high walls. Flat floor filled with lava supporting Cassini A and B. Hills and craterlets.</t>
    </r>
  </si>
  <si>
    <r>
      <rPr>
        <u/>
        <sz val="10"/>
        <rFont val="Arial"/>
        <family val="2"/>
      </rPr>
      <t>General</t>
    </r>
    <r>
      <rPr>
        <sz val="10"/>
        <rFont val="Arial"/>
        <family val="2"/>
      </rPr>
      <t>: Little marked and damaged circular formation forming an interesting trio with Bonpland and Parry. Pretty steep slopes supporting Bonpland to the South Parry to the South-East and the place of alunissage of Apollo 14 to the North. Few high walls deformed to the South. gobbled to the East and supporting Fra Mauro D &amp; X to the North. Very large flat floor more tormented to the West. Crossed by Rimae Parry. Craterlets whose Fra Mauro N &amp; P to the North Fra Mauro E to the center and Fra Mauro F to the South.</t>
    </r>
  </si>
  <si>
    <t>Hadley Rille</t>
  </si>
  <si>
    <r>
      <rPr>
        <u/>
        <sz val="10"/>
        <rFont val="Arial"/>
        <family val="2"/>
      </rPr>
      <t>Imaging</t>
    </r>
    <r>
      <rPr>
        <sz val="10"/>
        <rFont val="Arial"/>
        <family val="2"/>
      </rPr>
      <t>:  Took about 30 1-minute videos at 1260mm (f/6.3) with ToUcam 840k in an attempt to gather data to make a high resolution mosaic of the gibbous Moon. I need to be more meticulous and because I didn't have an advance plan, I was unable to complete the mosaic.  Seeing 3/5. Transparency 3/5.  Moon was very low in elevation so even though seeing was substantially degraded from zenith value.</t>
    </r>
  </si>
  <si>
    <r>
      <rPr>
        <u/>
        <sz val="10"/>
        <rFont val="Arial"/>
        <family val="2"/>
      </rPr>
      <t>General</t>
    </r>
    <r>
      <rPr>
        <sz val="10"/>
        <rFont val="Arial"/>
        <family val="2"/>
      </rPr>
      <t>: South-West North-East oriented sinuous rille. Passes the craterlet Hadley C in its center. Visited by the Apollo 15 mission.</t>
    </r>
  </si>
  <si>
    <r>
      <rPr>
        <u/>
        <sz val="10"/>
        <rFont val="Arial"/>
        <family val="2"/>
      </rPr>
      <t>Imaging</t>
    </r>
    <r>
      <rPr>
        <sz val="10"/>
        <rFont val="Arial"/>
        <family val="2"/>
      </rPr>
      <t>: Took two 2-min videos with C8 at 5500mm (f/27.5) and ToUcam.</t>
    </r>
  </si>
  <si>
    <t>Apollo</t>
  </si>
  <si>
    <r>
      <rPr>
        <u/>
        <sz val="10"/>
        <rFont val="Arial"/>
        <family val="2"/>
      </rPr>
      <t>General</t>
    </r>
    <r>
      <rPr>
        <sz val="10"/>
        <rFont val="Arial"/>
        <family val="2"/>
      </rPr>
      <t>: Large rille South-East North-West oriented to the departure. Crosses the 
crater Hyginus. Then West East oriented. Few Deep. Seems formed of an alignment of craterlets. Connected by a small groove to Rima Ariadaeus.</t>
    </r>
  </si>
  <si>
    <r>
      <t>Imaging</t>
    </r>
    <r>
      <rPr>
        <sz val="10"/>
        <rFont val="Arial"/>
        <family val="2"/>
      </rPr>
      <t>: Need a video time.</t>
    </r>
  </si>
  <si>
    <r>
      <t>Imaging</t>
    </r>
    <r>
      <rPr>
        <sz val="10"/>
        <rFont val="Arial"/>
        <family val="2"/>
      </rPr>
      <t>: Took series of TBD videos of Hyginus rille at high sun angle with C8 at 5500mm (f/27.5) and ToUcam.  Had some issues with dark frames.</t>
    </r>
  </si>
  <si>
    <r>
      <rPr>
        <u/>
        <sz val="10"/>
        <rFont val="Arial"/>
        <family val="2"/>
      </rPr>
      <t>General</t>
    </r>
    <r>
      <rPr>
        <sz val="10"/>
        <rFont val="Arial"/>
        <family val="2"/>
      </rPr>
      <t>: Large rectilinear East West oriented rile. Ramifies to the West with a branch going to Rima Hyginus. Splits to the East near Ariadaeus. Fulfillled by a mountainous cape to the North of Silberschlag. Floor filled by places.</t>
    </r>
  </si>
  <si>
    <t>Rimae Triesnecker</t>
  </si>
  <si>
    <r>
      <t>General</t>
    </r>
    <r>
      <rPr>
        <sz val="10"/>
        <rFont val="Arial"/>
        <family val="2"/>
      </rPr>
      <t>: Very ramified rilles system spreading the North slope of Rhaeticus to Rima Hyginus and situated on the slope East slope of Triesnecker. The densest of the visible face of the Moon. Comprises 5 North South oriented main rilles.</t>
    </r>
    <r>
      <rPr>
        <u/>
        <sz val="10"/>
        <rFont val="Arial"/>
        <family val="2"/>
      </rPr>
      <t xml:space="preserve">
</t>
    </r>
  </si>
  <si>
    <t>Pitatus</t>
  </si>
  <si>
    <r>
      <rPr>
        <u/>
        <sz val="10"/>
        <rFont val="Arial"/>
        <family val="2"/>
      </rPr>
      <t>Imaging</t>
    </r>
    <r>
      <rPr>
        <sz val="10"/>
        <rFont val="Arial"/>
        <family val="2"/>
      </rPr>
      <t>: Took 2 min video with C8 at 5500mm (f/27.5) and ToUcam.</t>
    </r>
  </si>
  <si>
    <r>
      <rPr>
        <u/>
        <sz val="10"/>
        <rFont val="Arial"/>
        <family val="2"/>
      </rPr>
      <t>General</t>
    </r>
    <r>
      <rPr>
        <sz val="10"/>
        <rFont val="Arial"/>
        <family val="2"/>
      </rPr>
      <t xml:space="preserve">: Circular formation situated on the South bank of Mare Nubium. Tormented slopes supporting Pitatus G to the East the trio Weiss Z /  Wurzelbauer N / Wurzelbauer W to the South and the half ghost crater Pitatus S to the North. Few high walls of riddled with anonymous craterlets. Flat floor filled with lava supporting Rimae Pitatus.Off-centered double mountain. Hills and craterlets. White spots.  communicating with the floor of Hesiodus by a valley in the wall.
</t>
    </r>
  </si>
  <si>
    <r>
      <rPr>
        <u/>
        <sz val="10"/>
        <rFont val="Arial"/>
        <family val="2"/>
      </rPr>
      <t>Imaging</t>
    </r>
    <r>
      <rPr>
        <sz val="10"/>
        <rFont val="Arial"/>
        <family val="2"/>
      </rPr>
      <t>: Took 2x2min videos of Jupiter with C8 at 5500mm (f/27.5) and ToUcam.</t>
    </r>
  </si>
  <si>
    <r>
      <rPr>
        <u/>
        <sz val="10"/>
        <rFont val="Arial"/>
        <family val="2"/>
      </rPr>
      <t>Imaging</t>
    </r>
    <r>
      <rPr>
        <sz val="10"/>
        <rFont val="Arial"/>
        <family val="2"/>
      </rPr>
      <t>: Took 3x2min videos of Jupiter with C8 at 5500mm (f/27.5) and ToUcam.</t>
    </r>
  </si>
  <si>
    <r>
      <rPr>
        <u/>
        <sz val="10"/>
        <rFont val="Arial"/>
        <family val="2"/>
      </rPr>
      <t>Imaging</t>
    </r>
    <r>
      <rPr>
        <sz val="10"/>
        <rFont val="Arial"/>
        <family val="2"/>
      </rPr>
      <t>: Took 2x1min video with C8 at 2000mm (f/10) and ToUcam.</t>
    </r>
  </si>
  <si>
    <r>
      <rPr>
        <u/>
        <sz val="10"/>
        <rFont val="Arial"/>
        <family val="2"/>
      </rPr>
      <t>Imaging</t>
    </r>
    <r>
      <rPr>
        <sz val="10"/>
        <rFont val="Arial"/>
        <family val="2"/>
      </rPr>
      <t>: Took 4x1min videos of Jupiter and eclipsing moons with C8 at 5500mm (f/27.5) and ToUcam. CHECK TIMES AND NUMBER OF VIDEOS.</t>
    </r>
  </si>
  <si>
    <r>
      <rPr>
        <u/>
        <sz val="10"/>
        <rFont val="Arial"/>
        <family val="2"/>
      </rPr>
      <t>Imaging</t>
    </r>
    <r>
      <rPr>
        <sz val="10"/>
        <rFont val="Arial"/>
        <family val="2"/>
      </rPr>
      <t>: Himalia</t>
    </r>
  </si>
  <si>
    <r>
      <rPr>
        <u/>
        <sz val="10"/>
        <rFont val="Arial"/>
        <family val="2"/>
      </rPr>
      <t>Imaging</t>
    </r>
    <r>
      <rPr>
        <sz val="10"/>
        <rFont val="Arial"/>
        <family val="2"/>
      </rPr>
      <t>: Took 5min video</t>
    </r>
  </si>
  <si>
    <r>
      <rPr>
        <u/>
        <sz val="10"/>
        <rFont val="Arial"/>
        <family val="2"/>
      </rPr>
      <t>Imaging</t>
    </r>
    <r>
      <rPr>
        <sz val="10"/>
        <rFont val="Arial"/>
        <family val="2"/>
      </rPr>
      <t>: Took RGBUV series of images (25:75:50:75) with C8 at 2000mm (f/10) and ST2000. Intent was to investigate UV properties of the atmosphere and look for polar hazes.  Also, wanted to create three- and four-color composites.  Seeing was good 3/5.  Transparency okay at 3/5.</t>
    </r>
  </si>
  <si>
    <t>Miranda</t>
  </si>
  <si>
    <t>Ariel</t>
  </si>
  <si>
    <t>Oberon</t>
  </si>
  <si>
    <r>
      <t>Imaging</t>
    </r>
    <r>
      <rPr>
        <sz val="10"/>
        <rFont val="Arial"/>
        <family val="2"/>
      </rPr>
      <t>: Took two series of 100x3sec clear images with ST2000 and C8 at 2000mm (f/10).  Intent was to capture all five Uranian moons.  Refocused after first series.  Tccd=-10C. Seeing 3/5. Transparency 4/5. First image time was centered on 6:57pMST (01:57UT) and the second was centered on 7:13pMST (02:13UT).</t>
    </r>
  </si>
  <si>
    <r>
      <t>Imaging</t>
    </r>
    <r>
      <rPr>
        <sz val="10"/>
        <rFont val="Arial"/>
        <family val="2"/>
      </rPr>
      <t>. Took 10 two-minute videos of Uranus using the C8 at 5500mm (f/27.5) and the ToUcam 840.  Seeing was quite good (3/5) and transparency was 4/5.</t>
    </r>
  </si>
  <si>
    <t>Imaging: Took two 2 min videos with C8 at 5500mm (f/27.5) and ToUcam at 03:01 and 03:03.  Later took one 2min video (refocused) at 03:37. Combined in  to single final image.</t>
  </si>
  <si>
    <r>
      <rPr>
        <u/>
        <sz val="10"/>
        <rFont val="Arial"/>
        <family val="2"/>
      </rPr>
      <t>Imaging</t>
    </r>
    <r>
      <rPr>
        <sz val="10"/>
        <rFont val="Arial"/>
        <family val="2"/>
      </rPr>
      <t>: Took two 2 min video of SW Mare Serenity and rilles in the area.  Needs to be identified. First video was at 2:37 UT and the second was at 3:17UT after refocusing.</t>
    </r>
  </si>
  <si>
    <r>
      <rPr>
        <u/>
        <sz val="10"/>
        <rFont val="Arial"/>
        <family val="2"/>
      </rPr>
      <t>Imaging</t>
    </r>
    <r>
      <rPr>
        <sz val="10"/>
        <rFont val="Arial"/>
        <family val="2"/>
      </rPr>
      <t>: 4 min exposure taken with 405mm lens and color film for astrometric project. Neptune is the blue point just above and left of the brightest star in the upper left (TBS). First Neptune astrometry photo. Taken at Brazos. NEED ROLL and NEG # INFO.</t>
    </r>
  </si>
  <si>
    <r>
      <rPr>
        <u/>
        <sz val="10"/>
        <rFont val="Arial"/>
        <family val="2"/>
      </rPr>
      <t>Imaging</t>
    </r>
    <r>
      <rPr>
        <sz val="10"/>
        <rFont val="Arial"/>
        <family val="2"/>
      </rPr>
      <t>:  5 min exposure taken with 405mm lens and color film for astrometric project. Taken at Brazos.v NEED ROLL and NEG # INFO.</t>
    </r>
  </si>
  <si>
    <r>
      <rPr>
        <u/>
        <sz val="10"/>
        <rFont val="Arial"/>
        <family val="2"/>
      </rPr>
      <t>Imaging</t>
    </r>
    <r>
      <rPr>
        <sz val="10"/>
        <rFont val="Arial"/>
        <family val="2"/>
      </rPr>
      <t>: Three images (exposures 5, 5.5, 4 min) taken with 405mm lens and color film for astrometric project. Taken in League City. NEED ROLL and NEG # INFO.</t>
    </r>
  </si>
  <si>
    <r>
      <rPr>
        <u/>
        <sz val="10"/>
        <rFont val="Arial"/>
        <family val="2"/>
      </rPr>
      <t>Imaging</t>
    </r>
    <r>
      <rPr>
        <sz val="10"/>
        <rFont val="Arial"/>
        <family val="2"/>
      </rPr>
      <t>: Three images (exposures 4, 5, 5 min) taken with 405mm lens and color film for astrometric project. Taken in Houston. NEED ROLL and NEG # INFO.</t>
    </r>
  </si>
  <si>
    <r>
      <t>Imaging</t>
    </r>
    <r>
      <rPr>
        <sz val="10"/>
        <rFont val="Arial"/>
        <family val="2"/>
      </rPr>
      <t>: Unsuccessful - bad pointing, no image of planet.</t>
    </r>
  </si>
  <si>
    <r>
      <rPr>
        <u/>
        <sz val="10"/>
        <rFont val="Arial"/>
        <family val="2"/>
      </rPr>
      <t>Imaging</t>
    </r>
    <r>
      <rPr>
        <sz val="10"/>
        <rFont val="Arial"/>
        <family val="2"/>
      </rPr>
      <t>: Took 4min exposure with 405mm lens on film. Taken at Brazos.</t>
    </r>
  </si>
  <si>
    <r>
      <t>Imaging</t>
    </r>
    <r>
      <rPr>
        <sz val="10"/>
        <rFont val="Arial"/>
        <family val="2"/>
      </rPr>
      <t>: Took three images (1s, 2s, 1s) with C8 on film at "12000mm" focal length.  Taken from Houston?</t>
    </r>
  </si>
  <si>
    <t>AR 651</t>
  </si>
  <si>
    <t>AR 11040</t>
  </si>
  <si>
    <t>AR 11045, AR 11046, AR 11047</t>
  </si>
  <si>
    <t>AR 11108</t>
  </si>
  <si>
    <t>AR 11108, AR 11109</t>
  </si>
  <si>
    <t>Spotless</t>
  </si>
  <si>
    <r>
      <t>Visual</t>
    </r>
    <r>
      <rPr>
        <sz val="10"/>
        <rFont val="Arial"/>
        <family val="2"/>
      </rPr>
      <t>: Notes from BB. Used projection with Tasco telescope.  Was I sick?  Why was I at home? I believe that this is the correct AR number from ftp://ftp.ngdc.noaa.gov/STP/SOLAR_DATA/SGD_PDFversion/1977/sgd7704p.pdf. Note that at this time the sunspot number was the last three digits of number assigned by the McMath-Hulbert Observatory.</t>
    </r>
  </si>
  <si>
    <t>Aurora</t>
  </si>
  <si>
    <r>
      <t>Visual</t>
    </r>
    <r>
      <rPr>
        <sz val="10"/>
        <rFont val="Arial"/>
        <family val="2"/>
      </rPr>
      <t>: Possible.</t>
    </r>
  </si>
  <si>
    <r>
      <t>Visual</t>
    </r>
    <r>
      <rPr>
        <sz val="10"/>
        <rFont val="Arial"/>
        <family val="2"/>
      </rPr>
      <t>: Brilliant aurora seen from Michigan.</t>
    </r>
  </si>
  <si>
    <r>
      <t>Visual</t>
    </r>
    <r>
      <rPr>
        <sz val="10"/>
        <rFont val="Arial"/>
        <family val="2"/>
      </rPr>
      <t>: TBD</t>
    </r>
  </si>
  <si>
    <r>
      <rPr>
        <u/>
        <sz val="10"/>
        <rFont val="Arial"/>
        <family val="2"/>
      </rPr>
      <t>Imaging</t>
    </r>
    <r>
      <rPr>
        <sz val="10"/>
        <rFont val="Arial"/>
        <family val="2"/>
      </rPr>
      <t>: Took  5min total video of region at 5500mm (f/27.5). Seeing 4/5, transparency 5/5.</t>
    </r>
  </si>
  <si>
    <r>
      <t>Imaging</t>
    </r>
    <r>
      <rPr>
        <sz val="10"/>
        <rFont val="Arial"/>
        <family val="2"/>
      </rPr>
      <t>: Mosaic of two frames at 2000mm (f/10). Includes Tycho. NEED VIDEO TIMES.</t>
    </r>
  </si>
  <si>
    <r>
      <rPr>
        <u/>
        <sz val="10"/>
        <rFont val="Arial"/>
        <family val="2"/>
      </rPr>
      <t>Imaging</t>
    </r>
    <r>
      <rPr>
        <sz val="10"/>
        <rFont val="Arial"/>
        <family val="2"/>
      </rPr>
      <t>: NEED VIDEO TIMES.</t>
    </r>
  </si>
  <si>
    <t>AR 11158, AR 1116X</t>
  </si>
  <si>
    <r>
      <rPr>
        <u/>
        <sz val="10"/>
        <rFont val="Arial"/>
        <family val="2"/>
      </rPr>
      <t>Imaging</t>
    </r>
    <r>
      <rPr>
        <sz val="10"/>
        <rFont val="Arial"/>
        <family val="2"/>
      </rPr>
      <t>: Took videos of these two active region areas with ToUcam and C8 at 2000mm (f/10). Seeing was absolutely awful, 1/5.  Even after sharpening in Registax, there were odd artifacts.</t>
    </r>
  </si>
  <si>
    <t>Waxing gibbous moon</t>
  </si>
  <si>
    <t>Composition</t>
  </si>
  <si>
    <r>
      <rPr>
        <u/>
        <sz val="10"/>
        <rFont val="Arial"/>
        <family val="2"/>
      </rPr>
      <t>Imaging</t>
    </r>
    <r>
      <rPr>
        <sz val="10"/>
        <rFont val="Arial"/>
        <family val="2"/>
      </rPr>
      <t>: Took IR, Ha, and UV images (30ms: 100ms: 2000ms) with ST2000 and C8 at 1260mm (f/6.3).  Covered most of waxing gibbous moon.  Some regions were saturated in the IR. NEED BETTER TIME HERE.</t>
    </r>
  </si>
  <si>
    <t>Imaging: Took IR and UV images with ST2000 and 135mm lens.  The IR image was taken at f/22 with an exposure of 10ms.  The UV image was taken at f/2.5 with an exposure of 100ms.</t>
  </si>
  <si>
    <r>
      <t>Visual</t>
    </r>
    <r>
      <rPr>
        <sz val="10"/>
        <rFont val="Arial"/>
        <family val="2"/>
      </rPr>
      <t>: Looked at Saturn with the kids an Robyn.  Used both 40mm and 7.5mm EP.  Could see three moons.</t>
    </r>
  </si>
  <si>
    <r>
      <t>Imaging</t>
    </r>
    <r>
      <rPr>
        <sz val="10"/>
        <rFont val="Arial"/>
        <family val="2"/>
      </rPr>
      <t>: Took series of IRRGBUV images with ST2000 and C8 at 2000mm (f/10). The IRRGBUV were taken between 10:18 and 10:30 pm MDT on Jun 7 local (Avg: 04:24 UT on 6/9/2011).</t>
    </r>
  </si>
  <si>
    <r>
      <t>Imaging</t>
    </r>
    <r>
      <rPr>
        <i/>
        <sz val="10"/>
        <rFont val="Arial"/>
        <family val="2"/>
      </rPr>
      <t xml:space="preserve">: </t>
    </r>
    <r>
      <rPr>
        <sz val="10"/>
        <rFont val="Arial"/>
        <family val="2"/>
      </rPr>
      <t>Took a series of 10x5sec Green images to see how many moons were visible.  Time was 10:42 MDT on 6/7/11.</t>
    </r>
  </si>
  <si>
    <t>AR 11234 and 11236</t>
  </si>
  <si>
    <t>AR 11260, 11261, and 11263</t>
  </si>
  <si>
    <r>
      <rPr>
        <u/>
        <sz val="10"/>
        <rFont val="Arial"/>
        <family val="2"/>
      </rPr>
      <t>Imaging</t>
    </r>
    <r>
      <rPr>
        <sz val="10"/>
        <rFont val="Arial"/>
        <family val="2"/>
      </rPr>
      <t>: Took videos of these two active region areas with ToUcam and C8 at 2000mm (f/10). Seeing was fair, 2-3/5.  However there were many clouds passing and it was very hard to get a good period for imaging.  The changes in brightness made it very hard to get any decent flat-field at all.  I ended up with out one.</t>
    </r>
  </si>
  <si>
    <r>
      <rPr>
        <u/>
        <sz val="10"/>
        <rFont val="Arial"/>
        <family val="2"/>
      </rPr>
      <t>Imaging</t>
    </r>
    <r>
      <rPr>
        <sz val="10"/>
        <rFont val="Arial"/>
        <family val="2"/>
      </rPr>
      <t>:  Took IRGBU image with ST2000 and C8 at 5500mm (f/27.5).  Binned 2x2.  Seeing was 2-3/5. Transparency 4/5. Tccd=-15C. Fan on. NEED IMAGING TIMES.</t>
    </r>
  </si>
  <si>
    <r>
      <rPr>
        <u/>
        <sz val="10"/>
        <rFont val="Arial"/>
        <family val="2"/>
      </rPr>
      <t>Imaging</t>
    </r>
    <r>
      <rPr>
        <sz val="10"/>
        <rFont val="Arial"/>
        <family val="2"/>
      </rPr>
      <t>:  Took IRGBU mosaic with ST2000 and C8 at 5500mm (f/27.5).  Binned 2x2.  Mosaic was 3x3+1 (10 frames) centered on Tranquility.  Seeing was 2-3/5. Transparency 4/5. Tccd=-15C. Fan on.  NEED IMAGING TIMES.</t>
    </r>
  </si>
  <si>
    <r>
      <rPr>
        <u/>
        <sz val="10"/>
        <rFont val="Arial"/>
        <family val="2"/>
      </rPr>
      <t>Imaging</t>
    </r>
    <r>
      <rPr>
        <sz val="10"/>
        <rFont val="Arial"/>
        <family val="2"/>
      </rPr>
      <t>: Took ToUcam videos of these three regions with C8 at 1260mm (f/6.3).  FOV was wide enough that a mosaic including the limb and all three regions can be created.  Original source data accidentally lost 8/14/2011 so no exact video times are available.  Each region was imaged for 120 sec and 400/3600 frames were used for each.</t>
    </r>
  </si>
  <si>
    <t>AR 11263</t>
  </si>
  <si>
    <t>AR 11302</t>
  </si>
  <si>
    <r>
      <rPr>
        <u/>
        <sz val="10"/>
        <rFont val="Arial"/>
        <family val="2"/>
      </rPr>
      <t>Imaging</t>
    </r>
    <r>
      <rPr>
        <sz val="10"/>
        <rFont val="Arial"/>
        <family val="2"/>
      </rPr>
      <t>: I took four two-minute videos of active region 11302, a huge region.  I used the C8 at 5500mm (f/27.5) and the ToUcam.  The videos were designed to be assembled into a mosaic covering the whole region.  Seeing was pretty good, say 3/5.</t>
    </r>
  </si>
  <si>
    <r>
      <rPr>
        <u/>
        <sz val="10"/>
        <rFont val="Arial"/>
        <family val="2"/>
      </rPr>
      <t>Imaging</t>
    </r>
    <r>
      <rPr>
        <sz val="10"/>
        <rFont val="Arial"/>
        <family val="2"/>
      </rPr>
      <t>: I took three two-minute videos of active region 11302, a huge region.  I used the C8 at 5500mm (f/27.5) and the ToUcam.  The videos were designed to be assembled into a mosaic covering the whole region.  Seeing was pretty good, say 3/5.  After finishing, I realized that I had the ToUcam gain set to its maximum.  I’m pretty darn sure that wasn’t the case for yesterday’s imaging, but it could have been.  Today, it made the region look washed out.</t>
    </r>
  </si>
  <si>
    <t>C/2009 P1 Garradd</t>
  </si>
  <si>
    <r>
      <t>Imaging</t>
    </r>
    <r>
      <rPr>
        <sz val="10"/>
        <rFont val="Arial"/>
        <family val="2"/>
      </rPr>
      <t>: I took 90 minute IRGBU image series (10:10:5:5:60) of the comet with TKE-130 at 430mm (f/3.3) and ST-2000.  Some of the U images might have been obscured by clouds or the neighbor’s roof.  I had to do some collimation because when unfocused, the ‘doughnut holes’ were off-center.  Again, this needs to be done more rigorously at some point. Binned 1x1. Tccd=15C? with the fan disabled.  Seeing~3/5  Transparency~42-3/5.</t>
    </r>
  </si>
  <si>
    <r>
      <rPr>
        <u/>
        <sz val="10"/>
        <rFont val="Arial"/>
        <family val="2"/>
      </rPr>
      <t>Imaging</t>
    </r>
    <r>
      <rPr>
        <sz val="10"/>
        <rFont val="Arial"/>
        <family val="2"/>
      </rPr>
      <t>: Took NUV images of these active regions with C8 at 5500mm (f/27.5) and ST2000.  Other spectral channels were saturated.  Took 5x0.2sec images each of 11263, 11261, 11261+11260, and 11260.  Seeing was predicted to be very good (4/5) but I couldn't really validate because the NUV does not focus so well with my optics in the first place.  Transparency was very good 4/5, but after I completed this series was interupted by developing cumulous. The intent was to follow this series with a ToUcam series of each region.  Imaging time was centered on 1:27pm MDT.</t>
    </r>
  </si>
  <si>
    <r>
      <rPr>
        <u/>
        <sz val="10"/>
        <rFont val="Arial"/>
        <family val="2"/>
      </rPr>
      <t>Imaging</t>
    </r>
    <r>
      <rPr>
        <sz val="10"/>
        <rFont val="Arial"/>
        <family val="2"/>
      </rPr>
      <t xml:space="preserve">: Took ToUcam videos of these three regions with C8 at 5500mm (f/27.5). Original source data accidentally lost 8/14/2011 so no exact video times are available. </t>
    </r>
  </si>
  <si>
    <r>
      <rPr>
        <u/>
        <sz val="10"/>
        <rFont val="Arial"/>
        <family val="2"/>
      </rPr>
      <t>Imaging</t>
    </r>
    <r>
      <rPr>
        <sz val="10"/>
        <rFont val="Arial"/>
        <family val="2"/>
      </rPr>
      <t>: Took ST-2000 image series with C8 at 1260mm (f/6.3), NUV filter and entrance mask with a single off-axis hole about one inch in diameter. For the flat-field I did not defocus the Sun enough and the flats were not usable. Time is exact since these images were not from video, but from the ST-2000.</t>
    </r>
  </si>
  <si>
    <r>
      <t>Imaging</t>
    </r>
    <r>
      <rPr>
        <sz val="10"/>
        <rFont val="Arial"/>
        <family val="2"/>
      </rPr>
      <t>: Took 3x2min videos with ToUcam and C8 at 5500mm (f/27.5).</t>
    </r>
  </si>
  <si>
    <r>
      <rPr>
        <u/>
        <sz val="10"/>
        <rFont val="Arial"/>
        <family val="2"/>
      </rPr>
      <t>Imaging</t>
    </r>
    <r>
      <rPr>
        <sz val="10"/>
        <rFont val="Arial"/>
        <family val="2"/>
      </rPr>
      <t xml:space="preserve">: Took video of Jupiter with C8 at 5500mm.  Seeing was fabulous, 4+/5.  Transparency 4/5.  </t>
    </r>
  </si>
  <si>
    <r>
      <rPr>
        <u/>
        <sz val="10"/>
        <rFont val="Arial"/>
        <family val="2"/>
      </rPr>
      <t>Imaging</t>
    </r>
    <r>
      <rPr>
        <sz val="10"/>
        <rFont val="Arial"/>
        <family val="2"/>
      </rPr>
      <t xml:space="preserve">: Took video of Io and Callisto with C8 at 5500mm.  Seeing was fabulous, 4+/5.  Transparency 4/5.  </t>
    </r>
  </si>
  <si>
    <r>
      <rPr>
        <u/>
        <sz val="10"/>
        <rFont val="Arial"/>
        <family val="2"/>
      </rPr>
      <t>Imaging</t>
    </r>
    <r>
      <rPr>
        <sz val="10"/>
        <rFont val="Arial"/>
        <family val="2"/>
      </rPr>
      <t xml:space="preserve">: Took video of Ganymede with C8 at 5500mm.  Seeing was fabulous, 4+/5.  Transparency 4/5.  </t>
    </r>
  </si>
  <si>
    <r>
      <rPr>
        <u/>
        <sz val="10"/>
        <rFont val="Arial"/>
        <family val="2"/>
      </rPr>
      <t>Imaging</t>
    </r>
    <r>
      <rPr>
        <sz val="10"/>
        <rFont val="Arial"/>
        <family val="2"/>
      </rPr>
      <t xml:space="preserve">: Took video of Europa with C8 at 5500mm.  Seeing was fabulous, 4+/5.  Transparency 4/5.  </t>
    </r>
  </si>
  <si>
    <r>
      <rPr>
        <u/>
        <sz val="10"/>
        <rFont val="Arial"/>
        <family val="2"/>
      </rPr>
      <t>Imaging</t>
    </r>
    <r>
      <rPr>
        <sz val="10"/>
        <rFont val="Arial"/>
        <family val="2"/>
      </rPr>
      <t>: Took (several?) IRGBU series of images with C8 at 5500mm.  Seeing was fabulous, 4+/5.  Transparency 4/5.  Also took a long green exposure to get moons. NEED BETTER TIME.</t>
    </r>
  </si>
  <si>
    <r>
      <rPr>
        <u/>
        <sz val="10"/>
        <rFont val="Arial"/>
        <family val="2"/>
      </rPr>
      <t>Imaging</t>
    </r>
    <r>
      <rPr>
        <sz val="10"/>
        <rFont val="Arial"/>
        <family val="2"/>
      </rPr>
      <t>: Took long green images with C8 at 5500mm to try to image Triton.  Not sure I was actually pointed at Neptune. Seeing was fabulous, 4+/5.  Transparency 4/5.  NEED BETTER TIME.</t>
    </r>
  </si>
  <si>
    <t>Need better times…ToUcam</t>
  </si>
  <si>
    <t>ST2000…need times</t>
  </si>
  <si>
    <t>2008-May-06 00:00</t>
  </si>
  <si>
    <r>
      <rPr>
        <u/>
        <sz val="10"/>
        <rFont val="Arial"/>
        <family val="2"/>
      </rPr>
      <t>Imaging</t>
    </r>
    <r>
      <rPr>
        <sz val="10"/>
        <rFont val="Arial"/>
        <family val="2"/>
      </rPr>
      <t>: Took series of 680 NUV and 200 Ha images of Venus with ST2000 and C8 at 5500mm (f/27.5). Mid-integration time is average of first image and last image time. Tccd=-10C, no fan. Seeing 3/5. Transparency 2/5.</t>
    </r>
  </si>
  <si>
    <t>Good central time.  ToUcam</t>
  </si>
  <si>
    <t>Imaging: I took image series in IHaGBU using the ST-2000 and C8 at 5500mm (f/27.5).  Tccd=-20C. No fan. Transparency 4/5. Seeing 3/5. (I degraded this for the quality computations because I used the ST2000 which doesn't do lucky imaging as well as the ToUcam.) Quick-look stacking shows NUV appearance is very different from NIR, which show surface albedo features clearly. Good central time.</t>
  </si>
  <si>
    <r>
      <t>Imaging</t>
    </r>
    <r>
      <rPr>
        <sz val="10"/>
        <rFont val="Arial"/>
        <family val="2"/>
      </rPr>
      <t>: I took image series in IHaGBU at the end of dusk using the ST-2000 and C8 at 5500mm (f/27.5).  Tccd=-20C. No fan. Transparency 4/5. Seeing 3/5.  Have good central time, but could use individual filter terms and do rotational correction in WinJUPOS. Images were spread over about 50 minutes.</t>
    </r>
  </si>
  <si>
    <r>
      <rPr>
        <u/>
        <sz val="10"/>
        <rFont val="Arial"/>
        <family val="2"/>
      </rPr>
      <t>Imaging</t>
    </r>
    <r>
      <rPr>
        <sz val="10"/>
        <rFont val="Arial"/>
        <family val="2"/>
      </rPr>
      <t xml:space="preserve">: Took (several?) IRGBU series of images of Jupiter with C8 at 5500mm.  Seeing was fabulous, 4+/5.  Transparency 4/5.  </t>
    </r>
    <r>
      <rPr>
        <b/>
        <sz val="10"/>
        <rFont val="Arial"/>
        <family val="2"/>
      </rPr>
      <t>NEED BETTER TIME(S).</t>
    </r>
  </si>
  <si>
    <r>
      <rPr>
        <u/>
        <sz val="10"/>
        <rFont val="Arial"/>
        <family val="2"/>
      </rPr>
      <t>Imaging</t>
    </r>
    <r>
      <rPr>
        <sz val="10"/>
        <rFont val="Arial"/>
        <family val="2"/>
      </rPr>
      <t>: Took series of 400 NUV and 50 Ha images of Venus with ST2000 and C8 at 5500mm (f/27.5). Have a good central  time. Mid-integration time is average of first image and last image time.</t>
    </r>
  </si>
  <si>
    <t>Imaging: Took 76x300ms NIR images with ST2000 and C8 at 5500mm (f/27.5). Tccd=-20C, no fan.  Seeing 3/5  (Degraded to 2/5 in the column to the left due to the long ST2000 exposures). Transparency 4/5.</t>
  </si>
  <si>
    <r>
      <t>Imaging</t>
    </r>
    <r>
      <rPr>
        <sz val="10"/>
        <rFont val="Arial"/>
        <family val="2"/>
      </rPr>
      <t>: Need times and everything else…</t>
    </r>
  </si>
  <si>
    <t>AR 11429</t>
  </si>
  <si>
    <r>
      <rPr>
        <u/>
        <sz val="10"/>
        <rFont val="Arial"/>
        <family val="2"/>
      </rPr>
      <t>Imaging</t>
    </r>
    <r>
      <rPr>
        <sz val="10"/>
        <rFont val="Arial"/>
        <family val="2"/>
      </rPr>
      <t>: Need all the details here.</t>
    </r>
  </si>
  <si>
    <t>AR 11476?</t>
  </si>
  <si>
    <t>Annular Eclipse</t>
  </si>
  <si>
    <t>Eclipse</t>
  </si>
  <si>
    <r>
      <t>Imaging</t>
    </r>
    <r>
      <rPr>
        <sz val="10"/>
        <rFont val="Arial"/>
        <family val="2"/>
      </rPr>
      <t>: Need all info for this…</t>
    </r>
  </si>
  <si>
    <r>
      <t>Imaging</t>
    </r>
    <r>
      <rPr>
        <sz val="10"/>
        <rFont val="Arial"/>
        <family val="2"/>
      </rPr>
      <t>: Took series of 2 30 second videos of Venus transit fully on the Sun through pretty clear sky opening in the clouds with ToUcam and C8 at TBD mm (f/TBD). Times were from 23:40-23:41 UT.</t>
    </r>
  </si>
  <si>
    <r>
      <t>Imaging</t>
    </r>
    <r>
      <rPr>
        <sz val="10"/>
        <rFont val="Arial"/>
        <family val="2"/>
      </rPr>
      <t xml:space="preserve">: Took series of 12 30 second videos of Venus transit ingress on the Sun through sometimes heavy clouds and light sprinkles with ToUcam and C8 at TBD mm (f/TBD). Times were from 22:08 to 22:23 UT.  </t>
    </r>
  </si>
  <si>
    <r>
      <t>Imaging</t>
    </r>
    <r>
      <rPr>
        <sz val="10"/>
        <rFont val="Arial"/>
        <family val="2"/>
      </rPr>
      <t xml:space="preserve">: Took long series of IRGBU images of Venus transit fully on the Sun through mostly clouds with ST2000 and C8 at 5500 mm (f/27.5). I believe I started with two neutral density filters stacked and then went to a single filter as clouds increased (image series #3?). Intent is to stack images in each band and look for differences in radius due to Venusian atmospheric absorption.  Would also be nice to compare to SDO AIA, Hinode SXT and GOES SXI imagery diameters. </t>
    </r>
    <r>
      <rPr>
        <sz val="10"/>
        <color rgb="FFFF0000"/>
        <rFont val="Arial"/>
        <family val="2"/>
      </rPr>
      <t>NEED TIMES HERE.</t>
    </r>
  </si>
  <si>
    <t>Imaging: I took a set of 50 5sec 889nm Methane images using the ST2000 and C8 at 5500mm (f/27.5).  Seeing was 3/5 and transparency 4/5.  Tccd=-25C without the fan. Imaging duration spanned 10 minutes.</t>
  </si>
  <si>
    <r>
      <rPr>
        <u/>
        <sz val="10"/>
        <rFont val="Arial"/>
        <family val="2"/>
      </rPr>
      <t>Imaging</t>
    </r>
    <r>
      <rPr>
        <sz val="10"/>
        <rFont val="Arial"/>
        <family val="2"/>
      </rPr>
      <t>: I took a set of 50 400msec NIR images using the ST2000 and C8 at 5500mm (f/27.5).  Seeing was 3/5 and transparency 4/5.  Tccd=-25C without the fan. Imaging duration spanned 10 minutes.</t>
    </r>
  </si>
  <si>
    <r>
      <rPr>
        <u/>
        <sz val="10"/>
        <rFont val="Arial"/>
        <family val="2"/>
      </rPr>
      <t>Imaging</t>
    </r>
    <r>
      <rPr>
        <sz val="10"/>
        <rFont val="Arial"/>
        <family val="2"/>
      </rPr>
      <t>: I took a set of 50 5sec Halpha images using the ST2000 and C8 at 5500mm (f/27.5).  Seeing was 3/5 and transparency 4/5.  Tccd=-25C without the fan. Imaging duration spanned 10 minutes.</t>
    </r>
  </si>
  <si>
    <r>
      <rPr>
        <u/>
        <sz val="10"/>
        <rFont val="Arial"/>
        <family val="2"/>
      </rPr>
      <t>Imaging</t>
    </r>
    <r>
      <rPr>
        <sz val="10"/>
        <rFont val="Arial"/>
        <family val="2"/>
      </rPr>
      <t>: I took a set of 50 400msec Blue images using the ST2000 and C8 at 5500mm (f/27.5).  Seeing was 3/5 and transparency 4/5.  Tccd=-25C without the fan. Imaging duration spanned 10 minutes.</t>
    </r>
  </si>
  <si>
    <r>
      <rPr>
        <u/>
        <sz val="10"/>
        <rFont val="Arial"/>
        <family val="2"/>
      </rPr>
      <t>Imaging</t>
    </r>
    <r>
      <rPr>
        <sz val="10"/>
        <rFont val="Arial"/>
        <family val="2"/>
      </rPr>
      <t>: I took a set of 50 5sec NUV images using the ST2000 and C8 at 5500mm (f/27.5).  Seeing was 3/5 and transparency 4/5.  Tccd=-25C without the fan. Imaging duration spanned 10 minutes.</t>
    </r>
  </si>
  <si>
    <r>
      <t>Imaging</t>
    </r>
    <r>
      <rPr>
        <sz val="10"/>
        <rFont val="Arial"/>
        <family val="2"/>
      </rPr>
      <t>: Took series of 200 NUV and 25 Ha images with ST2000 and C8 at 5500mm (f/27.5).Tccd=-10C.  Ha images were at 02:30UT and NUV images were at 01:47UT.</t>
    </r>
  </si>
  <si>
    <r>
      <rPr>
        <u/>
        <sz val="10"/>
        <rFont val="Arial"/>
        <family val="2"/>
      </rPr>
      <t>Imaging</t>
    </r>
    <r>
      <rPr>
        <sz val="10"/>
        <rFont val="Arial"/>
        <family val="2"/>
      </rPr>
      <t>: I took 2x120sec videos with ToUcam and C8 at 5500mm (f/27.5). Seeing was 3/5 and transparency 4/5.</t>
    </r>
  </si>
  <si>
    <r>
      <rPr>
        <u/>
        <sz val="10"/>
        <rFont val="Arial"/>
        <family val="2"/>
      </rPr>
      <t>Imaging</t>
    </r>
    <r>
      <rPr>
        <sz val="10"/>
        <rFont val="Arial"/>
        <family val="2"/>
      </rPr>
      <t>: I took a set of 25x200msec Blue images using the ST2000 and C8 at 5500mm (f/27.5).  Seeing was quite bad at 2/5 and transparency 4/5.  Tccd=-25C without the fan. Imaging spanned 4 minutes.</t>
    </r>
  </si>
  <si>
    <r>
      <rPr>
        <u/>
        <sz val="10"/>
        <rFont val="Arial"/>
        <family val="2"/>
      </rPr>
      <t>Imaging</t>
    </r>
    <r>
      <rPr>
        <sz val="10"/>
        <rFont val="Arial"/>
        <family val="2"/>
      </rPr>
      <t>: I took a set of 5x5sec NUV images using the ST2000 and C8 at 5500mm (f/27.5).  Seeing was quite bad at 2/5 and transparency 4/5.  Tccd=-25C without the fan.</t>
    </r>
  </si>
  <si>
    <r>
      <rPr>
        <u/>
        <sz val="10"/>
        <rFont val="Arial"/>
        <family val="2"/>
      </rPr>
      <t>Imaging</t>
    </r>
    <r>
      <rPr>
        <sz val="10"/>
        <rFont val="Arial"/>
        <family val="2"/>
      </rPr>
      <t>: I took a set of 50x200msec 889nm Methane images using the ST2000 and C8 at 5500mm (f/27.5).  Seeing was quite bad at 2/5 and transparency 4/5.  Tccd=-25C without the fan. Imaging spanned 11 minutes.</t>
    </r>
  </si>
  <si>
    <r>
      <t>Imaging</t>
    </r>
    <r>
      <rPr>
        <sz val="10"/>
        <rFont val="Arial"/>
        <family val="2"/>
      </rPr>
      <t xml:space="preserve">: Took video of Jupiter with C8 at 5500mm. </t>
    </r>
  </si>
  <si>
    <r>
      <t>Imaging</t>
    </r>
    <r>
      <rPr>
        <sz val="10"/>
        <rFont val="Arial"/>
        <family val="2"/>
      </rPr>
      <t xml:space="preserve">: Took video of Ganymede with C8 at 5500mm. </t>
    </r>
  </si>
  <si>
    <r>
      <t>Visual</t>
    </r>
    <r>
      <rPr>
        <sz val="10"/>
        <rFont val="Arial"/>
        <family val="2"/>
      </rPr>
      <t>: 10x50 binoculars and unaided.</t>
    </r>
  </si>
  <si>
    <r>
      <rPr>
        <u/>
        <sz val="10"/>
        <rFont val="Arial"/>
        <family val="2"/>
      </rPr>
      <t>Imaging</t>
    </r>
    <r>
      <rPr>
        <sz val="10"/>
        <rFont val="Arial"/>
        <family val="2"/>
      </rPr>
      <t>: I took 2x120sec videos with ToUcam and C8 at 5500mm (f/27.5). Seeing was quite bad at 2/5 and transparency 4/5.</t>
    </r>
  </si>
  <si>
    <r>
      <rPr>
        <u/>
        <sz val="10"/>
        <rFont val="Arial"/>
        <family val="2"/>
      </rPr>
      <t>Imaging</t>
    </r>
    <r>
      <rPr>
        <sz val="10"/>
        <rFont val="Arial"/>
        <family val="2"/>
      </rPr>
      <t>: Took 2x120s videos of Jupiter with ToUcam 840 and ST2000 at 5500mm (f/27.5).</t>
    </r>
  </si>
  <si>
    <r>
      <rPr>
        <u/>
        <sz val="10"/>
        <rFont val="Arial"/>
        <family val="2"/>
      </rPr>
      <t>Imaging</t>
    </r>
    <r>
      <rPr>
        <sz val="10"/>
        <rFont val="Arial"/>
        <family val="2"/>
      </rPr>
      <t>: Took 3x120s videos of Jupiter with ToUcam 840 and ST2000 at 5500mm (f/27.5).</t>
    </r>
  </si>
  <si>
    <r>
      <rPr>
        <u/>
        <sz val="10"/>
        <rFont val="Arial"/>
        <family val="2"/>
      </rPr>
      <t>Imaging</t>
    </r>
    <r>
      <rPr>
        <sz val="10"/>
        <rFont val="Arial"/>
        <family val="2"/>
      </rPr>
      <t xml:space="preserve">: Took 2x120s videos of Jupiter with ToUcam 840 and ST2000. Inserted f/6.3 focal reducer in imaging train but appears that focal length remained </t>
    </r>
    <r>
      <rPr>
        <u/>
        <sz val="10"/>
        <rFont val="Arial"/>
        <family val="2"/>
      </rPr>
      <t>exactly</t>
    </r>
    <r>
      <rPr>
        <sz val="10"/>
        <rFont val="Arial"/>
        <family val="2"/>
      </rPr>
      <t xml:space="preserve"> at 5500mm (f/27.5).</t>
    </r>
  </si>
  <si>
    <r>
      <rPr>
        <u/>
        <sz val="10"/>
        <rFont val="Arial"/>
        <family val="2"/>
      </rPr>
      <t>Imaging</t>
    </r>
    <r>
      <rPr>
        <sz val="10"/>
        <rFont val="Arial"/>
        <family val="2"/>
      </rPr>
      <t>: Image created in WinJUPOS from the 06:10 and 06:41 videos.</t>
    </r>
  </si>
  <si>
    <r>
      <rPr>
        <u/>
        <sz val="10"/>
        <rFont val="Arial"/>
        <family val="2"/>
      </rPr>
      <t>Imaging</t>
    </r>
    <r>
      <rPr>
        <sz val="10"/>
        <rFont val="Arial"/>
        <family val="2"/>
      </rPr>
      <t>: Took series of 50 GREEN images with ST2000 and C8 at 5500mm (f/27.5) centered on the time given.</t>
    </r>
  </si>
  <si>
    <r>
      <rPr>
        <u/>
        <sz val="10"/>
        <rFont val="Arial"/>
        <family val="2"/>
      </rPr>
      <t>Imaging</t>
    </r>
    <r>
      <rPr>
        <sz val="10"/>
        <rFont val="Arial"/>
        <family val="2"/>
      </rPr>
      <t>: Took series of 25 RED images with ST2000 and C8 at 5500mm (f/27.5) centered on the time given.</t>
    </r>
  </si>
  <si>
    <r>
      <rPr>
        <u/>
        <sz val="10"/>
        <rFont val="Arial"/>
        <family val="2"/>
      </rPr>
      <t>Imaging</t>
    </r>
    <r>
      <rPr>
        <sz val="10"/>
        <rFont val="Arial"/>
        <family val="2"/>
      </rPr>
      <t>: Took series of 50 BLU images with ST2000 and C8 at 5500mm (f/27.5) centered on the time given.</t>
    </r>
  </si>
  <si>
    <r>
      <rPr>
        <u/>
        <sz val="10"/>
        <rFont val="Arial"/>
        <family val="2"/>
      </rPr>
      <t>Imaging</t>
    </r>
    <r>
      <rPr>
        <sz val="10"/>
        <rFont val="Arial"/>
        <family val="2"/>
      </rPr>
      <t>: Took series of 100 CH4 images with ST2000 and C8 at 5500mm (f/27.5) centered on the time given.</t>
    </r>
  </si>
  <si>
    <r>
      <rPr>
        <u/>
        <sz val="10"/>
        <rFont val="Arial"/>
        <family val="2"/>
      </rPr>
      <t>Imaging</t>
    </r>
    <r>
      <rPr>
        <sz val="10"/>
        <rFont val="Arial"/>
        <family val="2"/>
      </rPr>
      <t>: Took series of 100 NUV images with ST2000 and C8 at 5500mm (f/27.5) centered on the time given.</t>
    </r>
  </si>
  <si>
    <r>
      <rPr>
        <u/>
        <sz val="10"/>
        <rFont val="Arial"/>
        <family val="2"/>
      </rPr>
      <t>Spectra</t>
    </r>
    <r>
      <rPr>
        <sz val="10"/>
        <rFont val="Arial"/>
        <family val="2"/>
      </rPr>
      <t>: I took three spectra of Jupiter using the ST2000 and 135mm f/2.5 camera lens.  The Star Analyzer 100 grating was placed in the CFW-8 filter wheel carousel.  I made three exposures with different focuses to try to counteract the smile and defocus due to chromatic aberation.</t>
    </r>
  </si>
  <si>
    <r>
      <rPr>
        <u/>
        <sz val="10"/>
        <rFont val="Arial"/>
        <family val="2"/>
      </rPr>
      <t>Imaging</t>
    </r>
    <r>
      <rPr>
        <sz val="10"/>
        <rFont val="Arial"/>
        <family val="2"/>
      </rPr>
      <t>: Took video (4x120sec) with ToUcam 840 and C8 at 5500mm (f/27.5). Nice shadow transit by Ganymede visible.</t>
    </r>
  </si>
  <si>
    <r>
      <rPr>
        <u/>
        <sz val="10"/>
        <rFont val="Arial"/>
        <family val="2"/>
      </rPr>
      <t>Imaging</t>
    </r>
    <r>
      <rPr>
        <sz val="10"/>
        <rFont val="Arial"/>
        <family val="2"/>
      </rPr>
      <t xml:space="preserve">: Took Ganymede video (4x120sec) with ToUcam 840 and C8 at 5500mm (f/27.5). </t>
    </r>
  </si>
  <si>
    <r>
      <rPr>
        <u/>
        <sz val="10"/>
        <rFont val="Arial"/>
        <family val="2"/>
      </rPr>
      <t>Imaging</t>
    </r>
    <r>
      <rPr>
        <sz val="10"/>
        <rFont val="Arial"/>
        <family val="2"/>
      </rPr>
      <t xml:space="preserve">: Took Jupiter video (3x120sec) with ToUcam 840 and C8 at 5500mm (f/27.5). </t>
    </r>
  </si>
  <si>
    <r>
      <rPr>
        <u/>
        <sz val="10"/>
        <rFont val="Arial"/>
        <family val="2"/>
      </rPr>
      <t>Imaging</t>
    </r>
    <r>
      <rPr>
        <sz val="10"/>
        <rFont val="Arial"/>
        <family val="2"/>
      </rPr>
      <t xml:space="preserve">: Took Jupiter video (1x240sec) with ToUcam 840 and C8 at 5500mm (f/27.5). </t>
    </r>
  </si>
  <si>
    <r>
      <rPr>
        <u/>
        <sz val="10"/>
        <rFont val="Arial"/>
        <family val="2"/>
      </rPr>
      <t>Spectra</t>
    </r>
    <r>
      <rPr>
        <sz val="10"/>
        <rFont val="Arial"/>
        <family val="2"/>
      </rPr>
      <t>: Took two NIR spectra image series with ST2000 and 135mm lens (f/2.5). Used two different focuses to fine-tune spherical chromatism and get best focus over entire NIR range.  Average time of the two image series is shown.</t>
    </r>
  </si>
  <si>
    <r>
      <rPr>
        <u/>
        <sz val="10"/>
        <rFont val="Arial"/>
        <family val="2"/>
      </rPr>
      <t>Spectra</t>
    </r>
    <r>
      <rPr>
        <sz val="10"/>
        <rFont val="Arial"/>
        <family val="2"/>
      </rPr>
      <t>: Took spectra with NUV, CLR and NIR filters, including all four Galillean moons with ST2000 and C8 at 1260mm.</t>
    </r>
  </si>
  <si>
    <r>
      <rPr>
        <u/>
        <sz val="10"/>
        <rFont val="Arial"/>
        <family val="2"/>
      </rPr>
      <t>Imaging</t>
    </r>
    <r>
      <rPr>
        <sz val="10"/>
        <rFont val="Arial"/>
        <family val="2"/>
      </rPr>
      <t>: Took series of 53x5sec NUV images with ST2000 and C8 at 5500mm (f/27.5) centered on the time given.</t>
    </r>
  </si>
  <si>
    <r>
      <rPr>
        <u/>
        <sz val="10"/>
        <rFont val="Arial"/>
        <family val="2"/>
      </rPr>
      <t>Imaging</t>
    </r>
    <r>
      <rPr>
        <sz val="10"/>
        <rFont val="Arial"/>
        <family val="2"/>
      </rPr>
      <t>: Took series of CH4 images with ST2000 and C8 at 5500mm (f/27.5) centered on the time given.</t>
    </r>
  </si>
  <si>
    <r>
      <rPr>
        <u/>
        <sz val="10"/>
        <rFont val="Arial"/>
        <family val="2"/>
      </rPr>
      <t>Imaging</t>
    </r>
    <r>
      <rPr>
        <sz val="10"/>
        <rFont val="Arial"/>
        <family val="2"/>
      </rPr>
      <t>: Took series of CLR images with ST2000 and C8 at 5500mm (f/27.5) centered on the time given.</t>
    </r>
  </si>
  <si>
    <r>
      <rPr>
        <u/>
        <sz val="10"/>
        <rFont val="Arial"/>
        <family val="2"/>
      </rPr>
      <t>Imaging</t>
    </r>
    <r>
      <rPr>
        <sz val="10"/>
        <rFont val="Arial"/>
        <family val="2"/>
      </rPr>
      <t>: Took series of Ha images with ST2000 and C8 at 5500mm (f/27.5) centered on the time given.</t>
    </r>
  </si>
  <si>
    <r>
      <rPr>
        <u/>
        <sz val="10"/>
        <rFont val="Arial"/>
        <family val="2"/>
      </rPr>
      <t>Imaging</t>
    </r>
    <r>
      <rPr>
        <sz val="10"/>
        <rFont val="Arial"/>
        <family val="2"/>
      </rPr>
      <t>: Took series of NIR images with ST2000 and C8 at 5500mm (f/27.5) centered on the time given.</t>
    </r>
  </si>
  <si>
    <r>
      <rPr>
        <u/>
        <sz val="10"/>
        <rFont val="Arial"/>
        <family val="2"/>
      </rPr>
      <t>Imaging</t>
    </r>
    <r>
      <rPr>
        <sz val="10"/>
        <rFont val="Arial"/>
        <family val="2"/>
      </rPr>
      <t>: Took series of nine 120s videos with ToUcam and C8 at 5500mm (f/27.5). Combined final stacks in WinJUPOS to compensate for rotation.</t>
    </r>
  </si>
  <si>
    <t>Seven filter bands with ZWO AXI120MM and C8 at prime focus with 2x barlow.  Have yet to determine plate scale or focal length for this configuration.  Seeing was poor to moderate 2-3/5. Time reflects approximate mean of all images taken.</t>
  </si>
  <si>
    <r>
      <rPr>
        <u/>
        <sz val="10"/>
        <rFont val="Arial"/>
        <family val="2"/>
      </rPr>
      <t>Imaging</t>
    </r>
    <r>
      <rPr>
        <sz val="10"/>
        <rFont val="Arial"/>
        <family val="2"/>
      </rPr>
      <t>: Several filter bands.  Very good seeing. Need more comments. UT time is approximate center of observations.</t>
    </r>
  </si>
  <si>
    <r>
      <rPr>
        <u/>
        <sz val="10"/>
        <rFont val="Arial"/>
        <family val="2"/>
      </rPr>
      <t>Spectra</t>
    </r>
    <r>
      <rPr>
        <sz val="10"/>
        <rFont val="Arial"/>
        <family val="2"/>
      </rPr>
      <t>: Several filter bands.  Set seeing to 1/10th tofor Mars Coverage Chart. UT time is approximate center of observations.</t>
    </r>
  </si>
  <si>
    <r>
      <rPr>
        <u/>
        <sz val="10"/>
        <rFont val="Arial"/>
        <family val="2"/>
      </rPr>
      <t>Imaging</t>
    </r>
    <r>
      <rPr>
        <sz val="10"/>
        <rFont val="Arial"/>
        <family val="2"/>
      </rPr>
      <t>: NIR only, but at 1260mm fl. Setting seeing to 1/5 for low sampling. Very good seeing. Need more comments. UT time is approximate center of observations.</t>
    </r>
  </si>
  <si>
    <t>Imbrium</t>
  </si>
  <si>
    <r>
      <t>General</t>
    </r>
    <r>
      <rPr>
        <sz val="10"/>
        <rFont val="Arial"/>
        <family val="2"/>
      </rPr>
      <t>: Large mare.</t>
    </r>
  </si>
  <si>
    <r>
      <t>Imaging</t>
    </r>
    <r>
      <rPr>
        <sz val="10"/>
        <rFont val="Arial"/>
        <family val="2"/>
      </rPr>
      <t xml:space="preserve">: Two-frame mosaic of eastern Imbrium, each with two 60-second videos with the C8 at 2000mm (f/10) and the ToUcam. </t>
    </r>
  </si>
  <si>
    <t>GRS</t>
  </si>
  <si>
    <t>Humorium</t>
  </si>
  <si>
    <r>
      <rPr>
        <u/>
        <sz val="10"/>
        <rFont val="Arial"/>
        <family val="2"/>
      </rPr>
      <t>Imaging</t>
    </r>
    <r>
      <rPr>
        <sz val="10"/>
        <rFont val="Arial"/>
        <family val="2"/>
      </rPr>
      <t>: AR11263 (IRGBU) 1:10:2:3:50 seconds with ST2000 and C8. I believe the focal length was 5500mm (f/27.5) and was the first time I used neutral density filters.  I did purchase two and believe I had them stacked.</t>
    </r>
  </si>
  <si>
    <t>Triton</t>
  </si>
  <si>
    <r>
      <rPr>
        <u/>
        <sz val="10"/>
        <rFont val="Arial"/>
        <family val="2"/>
      </rPr>
      <t>Imaging</t>
    </r>
    <r>
      <rPr>
        <sz val="10"/>
        <rFont val="Arial"/>
        <family val="2"/>
      </rPr>
      <t xml:space="preserve">: Took long green images with C8 at 5500mm to try to image Triton.  Not sure I was actually pointed at Neptune. Seeing was fabulous, 4+/5.  Transparency 4/5.  </t>
    </r>
    <r>
      <rPr>
        <sz val="10"/>
        <color rgb="FFFF0000"/>
        <rFont val="Arial"/>
        <family val="2"/>
      </rPr>
      <t>NEED BETTER TIME.</t>
    </r>
  </si>
  <si>
    <t>Mag</t>
  </si>
  <si>
    <t>Sep</t>
  </si>
  <si>
    <t>PA</t>
  </si>
  <si>
    <r>
      <rPr>
        <u/>
        <sz val="10"/>
        <rFont val="Arial"/>
        <family val="2"/>
      </rPr>
      <t>Spectra</t>
    </r>
    <r>
      <rPr>
        <sz val="10"/>
        <rFont val="Arial"/>
        <family val="2"/>
      </rPr>
      <t>: Took CLR, HAL and NIR(685) spectra using the C8 at 1260mm FL (f/6.3), the ST-2000XM and the 100 line/mm grating. Used spacer in imaging train to get a bit more dispersion (~10A/pix - TBC).  Also captured faint spectrum of Triton. UT time is midpoint of CLR and NIR exposures, which spanned more than an hour. Spectra of SigAqr were taken to use as instrumental/atmospheric calibration.</t>
    </r>
  </si>
  <si>
    <r>
      <rPr>
        <u/>
        <sz val="10"/>
        <rFont val="Arial"/>
        <family val="2"/>
      </rPr>
      <t>Imaging</t>
    </r>
    <r>
      <rPr>
        <sz val="10"/>
        <rFont val="Arial"/>
        <family val="2"/>
      </rPr>
      <t>: Took broadband filtered images (685, HAL, GRN, BLU) using the C8 at 1260mm FL (f/6.3) and the ST-2000XM. UT time is midpoint of GRN exposure. The conditions were very non-photometric.  High cirro-cumulous (is that a cloud type?) came in during the exposure series. I’m not sure precisely when.  I’d rate transparency as starting at 3/5 declining to 1/5. Had wide enough field for relative photometry. NOTE: CDC and WinJUPOS do not agree on Sep and PA. I need to find what is authoritative.</t>
    </r>
  </si>
  <si>
    <r>
      <rPr>
        <u/>
        <sz val="10"/>
        <rFont val="Arial"/>
        <family val="2"/>
      </rPr>
      <t>Imaging</t>
    </r>
    <r>
      <rPr>
        <sz val="10"/>
        <rFont val="Arial"/>
        <family val="2"/>
      </rPr>
      <t>: Took broadband filtered images (CLR, 685, RED, GRN, BLU) using the C8 at 5500mm FL (f/27.5) and the ST-2000XM. UT time is midpoint of CLR exposure. Very good seeing. Attempt to clearly resolve the disk.</t>
    </r>
  </si>
  <si>
    <r>
      <t>Imaging</t>
    </r>
    <r>
      <rPr>
        <sz val="10"/>
        <rFont val="Arial"/>
        <family val="2"/>
      </rPr>
      <t>: I took a 2 min NUV video of Venus with the ASI120MM  and the C8 with a 2x barlow giving a plate scale of about 0.16”/pix.  Gamma was set to 50, gain to 84, brightness to 0 and the exposure time was ~262 ms. About a minute into the video Venus fades when it goes behind a pine. I have no recorded notes on seeing, but images from Jupiter on the same evening suggest 3/5 or better.</t>
    </r>
  </si>
  <si>
    <r>
      <t>Imaging</t>
    </r>
    <r>
      <rPr>
        <sz val="10"/>
        <rFont val="Arial"/>
        <family val="2"/>
      </rPr>
      <t>: I took videos of Venus with the C8 (2x Barlow) and ASI120MM in three filters (NUV,  &gt;685, CH4). The individual times were 00:57:01, 01:12:18 and 01:07:15. I have no recorded notes on seeing, but images from Jupiter on the same evening suggest 3/5 or better.</t>
    </r>
  </si>
  <si>
    <r>
      <t>Spectra</t>
    </r>
    <r>
      <rPr>
        <sz val="10"/>
        <rFont val="Arial"/>
        <family val="2"/>
      </rPr>
      <t>: I took spectra of Venus using the StarAnalyzer 100 as an objective grating with the 135mm  lens in two bands (CLR, &gt;742nm). Individual images had mid-times at: 2:06:44 and 1:50:19.</t>
    </r>
  </si>
  <si>
    <r>
      <t>Imaging</t>
    </r>
    <r>
      <rPr>
        <sz val="10"/>
        <rFont val="Arial"/>
        <family val="2"/>
      </rPr>
      <t>: I took videos of Venus with the C8 (2x Barlow) and ASI120MM in four filters (NUV,  &gt;685, &gt;807nm and CH4). The individual times were 03:04:33, 02:51:10, 03:10:35 and 02:54:17. I have no recorded notes on seeing or transparency.</t>
    </r>
  </si>
  <si>
    <r>
      <t>Imaging</t>
    </r>
    <r>
      <rPr>
        <sz val="10"/>
        <rFont val="Arial"/>
        <family val="2"/>
      </rPr>
      <t>: I took videos of Venus with the C8 (2x Barlow) and ASI120MM in three filters (NUV,  &gt;685 and &gt;807nm). The individual times were 02:53:27, 02:48:09 and 02:44:13. I have no recorded notes on seeing or transparency.</t>
    </r>
  </si>
  <si>
    <r>
      <t>Imaging</t>
    </r>
    <r>
      <rPr>
        <sz val="10"/>
        <rFont val="Arial"/>
        <family val="2"/>
      </rPr>
      <t xml:space="preserve">: Took ST2000 RGB series. Stacked 105 individual images (R: 26, G: 47, B: 32).  Binned 1x1 with 5500mm EFL (f/27.5). Resolution appeared to be equivalent to 3.5" unobstructed aperture equivalent or about 1.5 arcseconds based on CalSky equivalent image appearance. Lots of detail, including some bluish 'barges' in the NEB. </t>
    </r>
    <r>
      <rPr>
        <u/>
        <sz val="10"/>
        <rFont val="Arial"/>
        <family val="2"/>
      </rPr>
      <t/>
    </r>
  </si>
  <si>
    <r>
      <t>Imaging</t>
    </r>
    <r>
      <rPr>
        <sz val="10"/>
        <rFont val="Arial"/>
        <family val="2"/>
      </rPr>
      <t xml:space="preserve">: Took ST2000 RGB series. Stacked 209 individual images (R: 56, G: 84, B: 69).  Binned 1x1 with 5500mm EFL (f/27.5). Resolution appeared to be equivalent to 3.0" unobstructed aperture equivalent or about 1.8 arcseconds based on CalSky equivalent image appearance. Great Red Spot and Io shadow transit visible. 
</t>
    </r>
    <r>
      <rPr>
        <u/>
        <sz val="10"/>
        <rFont val="Arial"/>
        <family val="2"/>
      </rPr>
      <t/>
    </r>
  </si>
  <si>
    <r>
      <t>Imaging</t>
    </r>
    <r>
      <rPr>
        <sz val="10"/>
        <rFont val="Arial"/>
        <family val="2"/>
      </rPr>
      <t xml:space="preserve">: Took ST2000 RGB series. Stacked 108 individual images (R: 33, G: 29, B: 46).  Binned 1x1 with 5500mm EFL (f/27.5). Resolution appeared to be equivalent to 3.0" unobstructed aperture equivalent or about 1.8 arcseconds based on CalSky equivalent image appearance. Great Red Spot visible. </t>
    </r>
    <r>
      <rPr>
        <u/>
        <sz val="10"/>
        <rFont val="Arial"/>
        <family val="2"/>
      </rPr>
      <t/>
    </r>
  </si>
  <si>
    <r>
      <t>Imaging</t>
    </r>
    <r>
      <rPr>
        <sz val="10"/>
        <rFont val="Arial"/>
        <family val="2"/>
      </rPr>
      <t>: Took ST2000 clear series.  Stacked 23 individual images.  Binned 1x1 with 5500mm EFL (f/27.5). Resolution appeared to be equivalent to 2.0" unobstructed aperture equivalent or about 2.7 arcseconds based on CalSky equivalent image appearance. NEB and SEB seen very clearly with just a bit of detail in the zone S of the SEB.</t>
    </r>
    <r>
      <rPr>
        <u/>
        <sz val="10"/>
        <rFont val="Arial"/>
        <family val="2"/>
      </rPr>
      <t/>
    </r>
  </si>
  <si>
    <r>
      <rPr>
        <u/>
        <sz val="10"/>
        <rFont val="Arial"/>
        <family val="2"/>
      </rPr>
      <t>Spectra</t>
    </r>
    <r>
      <rPr>
        <sz val="10"/>
        <rFont val="Arial"/>
        <family val="2"/>
      </rPr>
      <t>: I took eleven spectra of Jupiter using the ST2000 and 135mm f/2.5 camera lens.  The Star Analyzer 100 grating was placed in front of the 135mm lens objective giving much higher dispersion than on 1/9/2013. Filters were used to isolate spectral regions and provide better focus.  IRGBU images were taken.</t>
    </r>
  </si>
  <si>
    <t>Visual - same evening as imaging below?</t>
  </si>
  <si>
    <r>
      <rPr>
        <u/>
        <sz val="10"/>
        <rFont val="Arial"/>
        <family val="2"/>
      </rPr>
      <t>Imaging</t>
    </r>
    <r>
      <rPr>
        <sz val="10"/>
        <rFont val="Arial"/>
        <family val="2"/>
      </rPr>
      <t>: Took series of 685NIR, 656HIA, and 380NUV images with C8 and ST2000. Need details.</t>
    </r>
  </si>
  <si>
    <r>
      <t>Imaging</t>
    </r>
    <r>
      <rPr>
        <sz val="10"/>
        <rFont val="Arial"/>
        <family val="2"/>
      </rPr>
      <t xml:space="preserve">: Two videos of Plato with the C11 at 2800mm fl, the ASI120MM camera, and the 685NIR filter. Individual frame exposures were 30ms. 300 frames stacked for a total exposure of 9 sec.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</si>
</sst>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00"/>
    <numFmt numFmtId="165" formatCode="0.0"/>
    <numFmt numFmtId="166" formatCode="yyyy\-mmm\-dd"/>
    <numFmt numFmtId="167" formatCode="yyyy\-mmm\-dd\ hh:mm"/>
    <numFmt numFmtId="168" formatCode="[$-F800]dddd\,\ mmmm\ dd\,\ yyyy"/>
  </numFmts>
  <fonts count="14" x14ac:knownFonts="1">
    <font>
      <sz val="10"/>
      <name val="Arial"/>
    </font>
    <font>
      <b/>
      <sz val="10"/>
      <name val="Arial"/>
      <family val="2"/>
    </font>
    <font>
      <sz val="10"/>
      <name val="Arial"/>
      <family val="2"/>
    </font>
    <font>
      <b/>
      <sz val="10"/>
      <color indexed="9"/>
      <name val="Arial"/>
      <family val="2"/>
    </font>
    <font>
      <u/>
      <sz val="10"/>
      <name val="Arial"/>
      <family val="2"/>
    </font>
    <font>
      <b/>
      <u/>
      <sz val="10"/>
      <name val="Arial"/>
      <family val="2"/>
    </font>
    <font>
      <sz val="10"/>
      <name val="Arial"/>
      <family val="2"/>
    </font>
    <font>
      <i/>
      <sz val="10"/>
      <name val="Arial"/>
      <family val="2"/>
    </font>
    <font>
      <sz val="10"/>
      <color indexed="10"/>
      <name val="Arial"/>
      <family val="2"/>
    </font>
    <font>
      <b/>
      <sz val="12"/>
      <color indexed="9"/>
      <name val="Arial"/>
      <family val="2"/>
    </font>
    <font>
      <b/>
      <sz val="10"/>
      <color theme="0"/>
      <name val="Arial"/>
      <family val="2"/>
    </font>
    <font>
      <u/>
      <sz val="10"/>
      <color rgb="FFFF0000"/>
      <name val="Arial"/>
      <family val="2"/>
    </font>
    <font>
      <sz val="10"/>
      <color rgb="FF0070C0"/>
      <name val="Arial"/>
      <family val="2"/>
    </font>
    <font>
      <sz val="10"/>
      <color rgb="FFFF0000"/>
      <name val="Arial"/>
      <family val="2"/>
    </font>
  </fonts>
  <fills count="14">
    <fill>
      <patternFill patternType="none"/>
    </fill>
    <fill>
      <patternFill patternType="gray125"/>
    </fill>
    <fill>
      <patternFill patternType="solid">
        <fgColor indexed="8"/>
        <bgColor indexed="64"/>
      </patternFill>
    </fill>
    <fill>
      <patternFill patternType="solid">
        <fgColor indexed="22"/>
        <bgColor indexed="64"/>
      </patternFill>
    </fill>
    <fill>
      <patternFill patternType="solid">
        <fgColor indexed="51"/>
        <bgColor indexed="64"/>
      </patternFill>
    </fill>
    <fill>
      <patternFill patternType="solid">
        <fgColor indexed="55"/>
        <bgColor indexed="64"/>
      </patternFill>
    </fill>
    <fill>
      <patternFill patternType="solid">
        <fgColor theme="0" tint="-0.249977111117893"/>
        <bgColor indexed="64"/>
      </patternFill>
    </fill>
    <fill>
      <patternFill patternType="solid">
        <fgColor rgb="FFFFFF00"/>
        <bgColor indexed="64"/>
      </patternFill>
    </fill>
    <fill>
      <patternFill patternType="solid">
        <fgColor theme="1"/>
        <bgColor indexed="64"/>
      </patternFill>
    </fill>
    <fill>
      <patternFill patternType="solid">
        <fgColor rgb="FFFFFF99"/>
        <bgColor indexed="64"/>
      </patternFill>
    </fill>
    <fill>
      <patternFill patternType="solid">
        <fgColor rgb="FF00B0F0"/>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6" tint="0.59999389629810485"/>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s>
  <cellStyleXfs count="1">
    <xf numFmtId="0" fontId="0" fillId="0" borderId="0"/>
  </cellStyleXfs>
  <cellXfs count="267">
    <xf numFmtId="0" fontId="0" fillId="0" borderId="0" xfId="0"/>
    <xf numFmtId="0" fontId="0" fillId="0" borderId="0" xfId="0" applyAlignment="1">
      <alignment vertical="top"/>
    </xf>
    <xf numFmtId="0" fontId="0" fillId="0" borderId="0" xfId="0" applyAlignment="1">
      <alignment vertical="top" wrapText="1"/>
    </xf>
    <xf numFmtId="165" fontId="0" fillId="0" borderId="0" xfId="0" applyNumberFormat="1" applyAlignment="1">
      <alignment vertical="top"/>
    </xf>
    <xf numFmtId="166" fontId="0" fillId="0" borderId="0" xfId="0" applyNumberFormat="1" applyAlignment="1">
      <alignment vertical="top"/>
    </xf>
    <xf numFmtId="0" fontId="0" fillId="0" borderId="0" xfId="0" applyFill="1" applyAlignment="1">
      <alignment vertical="top"/>
    </xf>
    <xf numFmtId="166" fontId="0" fillId="0" borderId="0" xfId="0" applyNumberFormat="1" applyFill="1" applyAlignment="1">
      <alignment vertical="top"/>
    </xf>
    <xf numFmtId="0" fontId="3" fillId="2" borderId="0" xfId="0" applyFont="1" applyFill="1" applyAlignment="1"/>
    <xf numFmtId="165" fontId="3" fillId="2" borderId="0" xfId="0" applyNumberFormat="1" applyFont="1" applyFill="1" applyAlignment="1">
      <alignment textRotation="90"/>
    </xf>
    <xf numFmtId="0" fontId="3" fillId="2" borderId="0" xfId="0" applyFont="1" applyFill="1" applyAlignment="1">
      <alignment textRotation="90"/>
    </xf>
    <xf numFmtId="0" fontId="3" fillId="2" borderId="0" xfId="0" applyFont="1" applyFill="1" applyAlignment="1">
      <alignment wrapText="1"/>
    </xf>
    <xf numFmtId="166" fontId="3" fillId="2" borderId="0" xfId="0" applyNumberFormat="1" applyFont="1" applyFill="1" applyAlignment="1"/>
    <xf numFmtId="0" fontId="3" fillId="0" borderId="0" xfId="0" applyFont="1" applyFill="1" applyAlignment="1"/>
    <xf numFmtId="165" fontId="0" fillId="0" borderId="0" xfId="0" applyNumberFormat="1" applyFill="1" applyAlignment="1">
      <alignment vertical="top"/>
    </xf>
    <xf numFmtId="0" fontId="4" fillId="0" borderId="0" xfId="0" applyFont="1" applyFill="1" applyAlignment="1">
      <alignment vertical="top" wrapText="1"/>
    </xf>
    <xf numFmtId="0" fontId="1" fillId="0" borderId="0" xfId="0" applyFont="1" applyFill="1" applyAlignment="1">
      <alignment vertical="top"/>
    </xf>
    <xf numFmtId="0" fontId="2" fillId="0" borderId="0" xfId="0" applyFont="1" applyAlignment="1">
      <alignment vertical="top"/>
    </xf>
    <xf numFmtId="0" fontId="2" fillId="0" borderId="0" xfId="0" applyFont="1" applyFill="1" applyAlignment="1">
      <alignment vertical="top"/>
    </xf>
    <xf numFmtId="165" fontId="2" fillId="0" borderId="0" xfId="0" applyNumberFormat="1" applyFont="1" applyFill="1" applyAlignment="1">
      <alignment vertical="top"/>
    </xf>
    <xf numFmtId="166" fontId="2" fillId="0" borderId="0" xfId="0" applyNumberFormat="1" applyFont="1" applyFill="1" applyAlignment="1">
      <alignment vertical="top"/>
    </xf>
    <xf numFmtId="165" fontId="1" fillId="0" borderId="0" xfId="0" applyNumberFormat="1" applyFont="1" applyFill="1" applyAlignment="1">
      <alignment vertical="top"/>
    </xf>
    <xf numFmtId="166" fontId="1" fillId="0" borderId="0" xfId="0" applyNumberFormat="1" applyFont="1" applyFill="1" applyAlignment="1">
      <alignment vertical="top"/>
    </xf>
    <xf numFmtId="0" fontId="0" fillId="0" borderId="0" xfId="0" applyFill="1" applyAlignment="1">
      <alignment vertical="top" wrapText="1"/>
    </xf>
    <xf numFmtId="0" fontId="2" fillId="0" borderId="0" xfId="0" applyFont="1" applyFill="1" applyAlignment="1">
      <alignment vertical="top" wrapText="1"/>
    </xf>
    <xf numFmtId="0" fontId="1" fillId="0" borderId="0" xfId="0" applyFont="1" applyFill="1" applyAlignment="1">
      <alignment vertical="top" wrapText="1"/>
    </xf>
    <xf numFmtId="166" fontId="2" fillId="0" borderId="0" xfId="0" applyNumberFormat="1" applyFont="1" applyFill="1" applyAlignment="1">
      <alignment horizontal="right" vertical="top"/>
    </xf>
    <xf numFmtId="0" fontId="2" fillId="0" borderId="0" xfId="0" applyFont="1" applyFill="1" applyAlignment="1">
      <alignment horizontal="center" vertical="top"/>
    </xf>
    <xf numFmtId="16" fontId="2" fillId="0" borderId="0" xfId="0" quotePrefix="1" applyNumberFormat="1" applyFont="1" applyFill="1" applyAlignment="1">
      <alignment horizontal="center" vertical="top"/>
    </xf>
    <xf numFmtId="0" fontId="0" fillId="0" borderId="0" xfId="0" applyFill="1" applyAlignment="1">
      <alignment horizontal="center" vertical="top"/>
    </xf>
    <xf numFmtId="0" fontId="2" fillId="0" borderId="0" xfId="0" applyFont="1" applyAlignment="1">
      <alignment vertical="top" wrapText="1"/>
    </xf>
    <xf numFmtId="0" fontId="3" fillId="0" borderId="0" xfId="0" applyFont="1" applyFill="1" applyAlignment="1">
      <alignment wrapText="1"/>
    </xf>
    <xf numFmtId="166" fontId="3" fillId="0" borderId="0" xfId="0" applyNumberFormat="1" applyFont="1" applyFill="1" applyAlignment="1"/>
    <xf numFmtId="0" fontId="2" fillId="0" borderId="0" xfId="0" quotePrefix="1" applyFont="1" applyFill="1" applyAlignment="1">
      <alignment horizontal="center" vertical="top"/>
    </xf>
    <xf numFmtId="165" fontId="2" fillId="0" borderId="0" xfId="0" applyNumberFormat="1" applyFont="1" applyFill="1" applyAlignment="1">
      <alignment vertical="top" wrapText="1"/>
    </xf>
    <xf numFmtId="0" fontId="3" fillId="2" borderId="0" xfId="0" applyFont="1" applyFill="1" applyAlignment="1">
      <alignment textRotation="90" wrapText="1"/>
    </xf>
    <xf numFmtId="167" fontId="3" fillId="2" borderId="0" xfId="0" applyNumberFormat="1" applyFont="1" applyFill="1" applyAlignment="1">
      <alignment horizontal="center" wrapText="1"/>
    </xf>
    <xf numFmtId="167" fontId="2" fillId="0" borderId="0" xfId="0" applyNumberFormat="1" applyFont="1" applyFill="1" applyAlignment="1">
      <alignment horizontal="center" vertical="top" wrapText="1"/>
    </xf>
    <xf numFmtId="165" fontId="3" fillId="0" borderId="0" xfId="0" applyNumberFormat="1" applyFont="1" applyFill="1" applyAlignment="1"/>
    <xf numFmtId="166" fontId="2" fillId="3" borderId="0" xfId="0" applyNumberFormat="1" applyFont="1" applyFill="1" applyAlignment="1">
      <alignment vertical="top"/>
    </xf>
    <xf numFmtId="0" fontId="3" fillId="3" borderId="0" xfId="0" applyFont="1" applyFill="1" applyAlignment="1"/>
    <xf numFmtId="166" fontId="6" fillId="0" borderId="0" xfId="0" applyNumberFormat="1" applyFont="1" applyFill="1" applyAlignment="1">
      <alignment vertical="top"/>
    </xf>
    <xf numFmtId="0" fontId="2" fillId="4" borderId="0" xfId="0" applyFont="1" applyFill="1" applyAlignment="1">
      <alignment vertical="top" wrapText="1"/>
    </xf>
    <xf numFmtId="0" fontId="2" fillId="0" borderId="0" xfId="0" applyFont="1" applyFill="1" applyBorder="1" applyAlignment="1">
      <alignment vertical="top"/>
    </xf>
    <xf numFmtId="0" fontId="2" fillId="0" borderId="0" xfId="0" applyFont="1" applyBorder="1" applyAlignment="1">
      <alignment horizontal="center" vertical="top" wrapText="1"/>
    </xf>
    <xf numFmtId="0" fontId="2" fillId="0" borderId="0" xfId="0" applyFont="1" applyBorder="1" applyAlignment="1">
      <alignment vertical="top" wrapText="1"/>
    </xf>
    <xf numFmtId="0" fontId="2" fillId="0" borderId="0" xfId="0" applyFont="1" applyBorder="1" applyAlignment="1">
      <alignment horizontal="right" vertical="top"/>
    </xf>
    <xf numFmtId="165" fontId="2" fillId="0" borderId="0" xfId="0" applyNumberFormat="1" applyFont="1" applyFill="1" applyBorder="1" applyAlignment="1">
      <alignment vertical="top"/>
    </xf>
    <xf numFmtId="16" fontId="2" fillId="0" borderId="0" xfId="0" quotePrefix="1" applyNumberFormat="1" applyFont="1" applyFill="1" applyBorder="1" applyAlignment="1">
      <alignment horizontal="center" vertical="top"/>
    </xf>
    <xf numFmtId="0" fontId="4" fillId="0" borderId="0" xfId="0" applyFont="1" applyBorder="1" applyAlignment="1">
      <alignment vertical="top" wrapText="1"/>
    </xf>
    <xf numFmtId="166" fontId="2" fillId="0" borderId="0" xfId="0" applyNumberFormat="1" applyFont="1" applyFill="1" applyBorder="1" applyAlignment="1">
      <alignment vertical="top"/>
    </xf>
    <xf numFmtId="165" fontId="2" fillId="0" borderId="0" xfId="0" applyNumberFormat="1" applyFont="1" applyBorder="1" applyAlignment="1">
      <alignment horizontal="right" vertical="top"/>
    </xf>
    <xf numFmtId="0" fontId="2" fillId="0" borderId="0" xfId="0" applyFont="1" applyFill="1" applyBorder="1" applyAlignment="1">
      <alignment vertical="top" wrapText="1"/>
    </xf>
    <xf numFmtId="0" fontId="3" fillId="5" borderId="0" xfId="0" applyFont="1" applyFill="1" applyAlignment="1"/>
    <xf numFmtId="0" fontId="2" fillId="6" borderId="0" xfId="0" applyFont="1" applyFill="1" applyAlignment="1">
      <alignment vertical="top"/>
    </xf>
    <xf numFmtId="167" fontId="2" fillId="6" borderId="0" xfId="0" applyNumberFormat="1" applyFont="1" applyFill="1" applyAlignment="1">
      <alignment horizontal="center" vertical="top" wrapText="1"/>
    </xf>
    <xf numFmtId="0" fontId="2" fillId="6" borderId="0" xfId="0" applyFont="1" applyFill="1" applyAlignment="1">
      <alignment vertical="top" wrapText="1"/>
    </xf>
    <xf numFmtId="165" fontId="2" fillId="6" borderId="0" xfId="0" applyNumberFormat="1" applyFont="1" applyFill="1" applyAlignment="1">
      <alignment vertical="top"/>
    </xf>
    <xf numFmtId="0" fontId="4" fillId="6" borderId="0" xfId="0" applyFont="1" applyFill="1" applyAlignment="1">
      <alignment vertical="top" wrapText="1"/>
    </xf>
    <xf numFmtId="166" fontId="2" fillId="6" borderId="0" xfId="0" applyNumberFormat="1" applyFont="1" applyFill="1" applyAlignment="1">
      <alignment vertical="top"/>
    </xf>
    <xf numFmtId="0" fontId="0" fillId="6" borderId="0" xfId="0" applyFill="1" applyAlignment="1">
      <alignment vertical="top"/>
    </xf>
    <xf numFmtId="165" fontId="0" fillId="6" borderId="0" xfId="0" applyNumberFormat="1" applyFill="1" applyAlignment="1">
      <alignment vertical="top"/>
    </xf>
    <xf numFmtId="0" fontId="3" fillId="6" borderId="0" xfId="0" applyFont="1" applyFill="1" applyAlignment="1"/>
    <xf numFmtId="2" fontId="0" fillId="0" borderId="0" xfId="0" applyNumberFormat="1" applyFill="1" applyAlignment="1">
      <alignment vertical="top"/>
    </xf>
    <xf numFmtId="0" fontId="3" fillId="0" borderId="0" xfId="0" applyFont="1" applyFill="1" applyAlignment="1">
      <alignment textRotation="90" wrapText="1"/>
    </xf>
    <xf numFmtId="0" fontId="0" fillId="6" borderId="0" xfId="0" applyFill="1" applyAlignment="1">
      <alignment vertical="top" wrapText="1"/>
    </xf>
    <xf numFmtId="0" fontId="1" fillId="6" borderId="0" xfId="0" applyFont="1" applyFill="1" applyAlignment="1">
      <alignment wrapText="1"/>
    </xf>
    <xf numFmtId="166" fontId="2" fillId="6" borderId="0" xfId="0" applyNumberFormat="1" applyFont="1" applyFill="1" applyAlignment="1">
      <alignment horizontal="right" vertical="top"/>
    </xf>
    <xf numFmtId="0" fontId="3" fillId="6" borderId="0" xfId="0" applyFont="1" applyFill="1" applyAlignment="1">
      <alignment wrapText="1"/>
    </xf>
    <xf numFmtId="166" fontId="3" fillId="6" borderId="0" xfId="0" applyNumberFormat="1" applyFont="1" applyFill="1" applyAlignment="1"/>
    <xf numFmtId="0" fontId="1" fillId="0" borderId="0" xfId="0" applyFont="1" applyFill="1" applyAlignment="1">
      <alignment wrapText="1"/>
    </xf>
    <xf numFmtId="0" fontId="3" fillId="0" borderId="1" xfId="0" applyFont="1" applyFill="1" applyBorder="1" applyAlignment="1">
      <alignment textRotation="90" wrapText="1"/>
    </xf>
    <xf numFmtId="167" fontId="2" fillId="0" borderId="1" xfId="0" applyNumberFormat="1" applyFont="1" applyFill="1" applyBorder="1" applyAlignment="1">
      <alignment horizontal="center" vertical="top" wrapText="1"/>
    </xf>
    <xf numFmtId="0" fontId="2" fillId="0" borderId="1" xfId="0" applyFont="1" applyFill="1" applyBorder="1" applyAlignment="1">
      <alignment vertical="top" wrapText="1"/>
    </xf>
    <xf numFmtId="165" fontId="2" fillId="0" borderId="1" xfId="0" applyNumberFormat="1" applyFont="1" applyFill="1" applyBorder="1" applyAlignment="1">
      <alignment vertical="top"/>
    </xf>
    <xf numFmtId="165" fontId="3" fillId="0" borderId="1" xfId="0" applyNumberFormat="1" applyFont="1" applyFill="1" applyBorder="1" applyAlignment="1">
      <alignment textRotation="90"/>
    </xf>
    <xf numFmtId="0" fontId="2" fillId="0" borderId="1" xfId="0" applyFont="1" applyFill="1" applyBorder="1" applyAlignment="1">
      <alignment vertical="top"/>
    </xf>
    <xf numFmtId="0" fontId="4" fillId="0" borderId="1" xfId="0" applyFont="1" applyFill="1" applyBorder="1" applyAlignment="1">
      <alignment vertical="top" wrapText="1"/>
    </xf>
    <xf numFmtId="166" fontId="2" fillId="0" borderId="1" xfId="0" applyNumberFormat="1" applyFont="1" applyFill="1" applyBorder="1" applyAlignment="1">
      <alignment horizontal="right" vertical="top"/>
    </xf>
    <xf numFmtId="0" fontId="1" fillId="0" borderId="1" xfId="0" applyFont="1" applyFill="1" applyBorder="1" applyAlignment="1">
      <alignment vertical="top" wrapText="1"/>
    </xf>
    <xf numFmtId="165" fontId="1" fillId="0" borderId="1" xfId="0" applyNumberFormat="1" applyFont="1" applyFill="1" applyBorder="1" applyAlignment="1">
      <alignment vertical="top"/>
    </xf>
    <xf numFmtId="0" fontId="1" fillId="0" borderId="1" xfId="0" applyFont="1" applyFill="1" applyBorder="1" applyAlignment="1">
      <alignment horizontal="center" vertical="top"/>
    </xf>
    <xf numFmtId="0" fontId="1" fillId="0" borderId="1" xfId="0" applyFont="1" applyFill="1" applyBorder="1" applyAlignment="1">
      <alignment vertical="top"/>
    </xf>
    <xf numFmtId="0" fontId="5" fillId="0" borderId="1" xfId="0" applyFont="1" applyFill="1" applyBorder="1" applyAlignment="1">
      <alignment vertical="top" wrapText="1"/>
    </xf>
    <xf numFmtId="166" fontId="1" fillId="0" borderId="1" xfId="0" applyNumberFormat="1" applyFont="1" applyFill="1" applyBorder="1" applyAlignment="1">
      <alignment vertical="top"/>
    </xf>
    <xf numFmtId="0" fontId="0" fillId="0" borderId="1" xfId="0" applyFill="1" applyBorder="1" applyAlignment="1">
      <alignment vertical="top" wrapText="1"/>
    </xf>
    <xf numFmtId="165" fontId="0" fillId="0" borderId="1" xfId="0" applyNumberFormat="1" applyFill="1" applyBorder="1" applyAlignment="1">
      <alignment vertical="top"/>
    </xf>
    <xf numFmtId="0" fontId="0" fillId="0" borderId="1" xfId="0" applyFill="1" applyBorder="1" applyAlignment="1">
      <alignment horizontal="center" vertical="top"/>
    </xf>
    <xf numFmtId="0" fontId="0" fillId="0" borderId="1" xfId="0" applyFill="1" applyBorder="1" applyAlignment="1">
      <alignment vertical="top"/>
    </xf>
    <xf numFmtId="166" fontId="0" fillId="0" borderId="1" xfId="0" applyNumberFormat="1" applyFill="1" applyBorder="1" applyAlignment="1">
      <alignment vertical="top"/>
    </xf>
    <xf numFmtId="0" fontId="0" fillId="0" borderId="1" xfId="0" applyBorder="1" applyAlignment="1">
      <alignment vertical="top" wrapText="1"/>
    </xf>
    <xf numFmtId="165" fontId="0" fillId="0" borderId="1" xfId="0" applyNumberFormat="1" applyBorder="1" applyAlignment="1">
      <alignment vertical="top"/>
    </xf>
    <xf numFmtId="0" fontId="0" fillId="0" borderId="1" xfId="0" applyBorder="1" applyAlignment="1">
      <alignment horizontal="center" vertical="top"/>
    </xf>
    <xf numFmtId="0" fontId="0" fillId="0" borderId="1" xfId="0" applyBorder="1" applyAlignment="1">
      <alignment vertical="top"/>
    </xf>
    <xf numFmtId="166" fontId="0" fillId="0" borderId="1" xfId="0" applyNumberFormat="1" applyBorder="1" applyAlignment="1">
      <alignment vertical="top"/>
    </xf>
    <xf numFmtId="16" fontId="2" fillId="0" borderId="1" xfId="0" quotePrefix="1" applyNumberFormat="1" applyFont="1" applyFill="1" applyBorder="1" applyAlignment="1">
      <alignment horizontal="center" vertical="top"/>
    </xf>
    <xf numFmtId="166" fontId="2" fillId="0" borderId="1" xfId="0" applyNumberFormat="1" applyFont="1" applyFill="1" applyBorder="1" applyAlignment="1">
      <alignment vertical="top"/>
    </xf>
    <xf numFmtId="0" fontId="2" fillId="0" borderId="1" xfId="0" applyFont="1" applyFill="1" applyBorder="1" applyAlignment="1">
      <alignment horizontal="center" vertical="top"/>
    </xf>
    <xf numFmtId="16" fontId="2" fillId="0" borderId="0" xfId="0" applyNumberFormat="1" applyFont="1" applyFill="1" applyAlignment="1">
      <alignment horizontal="center" vertical="top"/>
    </xf>
    <xf numFmtId="0" fontId="3" fillId="2" borderId="2" xfId="0" applyFont="1" applyFill="1" applyBorder="1" applyAlignment="1">
      <alignment textRotation="90" wrapText="1"/>
    </xf>
    <xf numFmtId="167" fontId="3" fillId="2" borderId="3" xfId="0" applyNumberFormat="1" applyFont="1" applyFill="1" applyBorder="1" applyAlignment="1">
      <alignment horizontal="center" wrapText="1"/>
    </xf>
    <xf numFmtId="165" fontId="3" fillId="2" borderId="3" xfId="0" applyNumberFormat="1" applyFont="1" applyFill="1" applyBorder="1" applyAlignment="1">
      <alignment textRotation="90"/>
    </xf>
    <xf numFmtId="0" fontId="3" fillId="2" borderId="3" xfId="0" applyFont="1" applyFill="1" applyBorder="1" applyAlignment="1">
      <alignment horizontal="center" textRotation="90"/>
    </xf>
    <xf numFmtId="0" fontId="3" fillId="2" borderId="3" xfId="0" applyFont="1" applyFill="1" applyBorder="1" applyAlignment="1">
      <alignment textRotation="90"/>
    </xf>
    <xf numFmtId="0" fontId="3" fillId="2" borderId="3" xfId="0" applyFont="1" applyFill="1" applyBorder="1" applyAlignment="1">
      <alignment wrapText="1"/>
    </xf>
    <xf numFmtId="166" fontId="3" fillId="2" borderId="3" xfId="0" applyNumberFormat="1" applyFont="1" applyFill="1" applyBorder="1" applyAlignment="1"/>
    <xf numFmtId="0" fontId="0" fillId="0" borderId="0" xfId="0" applyBorder="1" applyAlignment="1">
      <alignment vertical="top" wrapText="1"/>
    </xf>
    <xf numFmtId="167" fontId="2" fillId="0" borderId="0" xfId="0" applyNumberFormat="1" applyFont="1" applyFill="1" applyBorder="1" applyAlignment="1">
      <alignment horizontal="center" vertical="top" wrapText="1"/>
    </xf>
    <xf numFmtId="165" fontId="0" fillId="0" borderId="0" xfId="0" applyNumberFormat="1" applyBorder="1" applyAlignment="1">
      <alignment vertical="top"/>
    </xf>
    <xf numFmtId="0" fontId="0" fillId="0" borderId="0" xfId="0" applyBorder="1" applyAlignment="1">
      <alignment horizontal="center" vertical="top"/>
    </xf>
    <xf numFmtId="0" fontId="0" fillId="0" borderId="0" xfId="0" applyBorder="1" applyAlignment="1">
      <alignment vertical="top"/>
    </xf>
    <xf numFmtId="166" fontId="0" fillId="0" borderId="0" xfId="0" applyNumberFormat="1" applyBorder="1" applyAlignment="1">
      <alignment vertical="top"/>
    </xf>
    <xf numFmtId="0" fontId="3" fillId="2" borderId="3" xfId="0" applyNumberFormat="1" applyFont="1" applyFill="1" applyBorder="1" applyAlignment="1">
      <alignment horizontal="center" wrapText="1"/>
    </xf>
    <xf numFmtId="0" fontId="2" fillId="0" borderId="0" xfId="0" applyNumberFormat="1" applyFont="1" applyFill="1" applyBorder="1" applyAlignment="1">
      <alignment horizontal="center" vertical="top" wrapText="1"/>
    </xf>
    <xf numFmtId="0" fontId="2" fillId="0" borderId="0" xfId="0" applyNumberFormat="1" applyFont="1" applyFill="1" applyAlignment="1">
      <alignment vertical="top" wrapText="1"/>
    </xf>
    <xf numFmtId="0" fontId="2" fillId="0" borderId="0" xfId="0" applyNumberFormat="1" applyFont="1" applyFill="1" applyAlignment="1">
      <alignment horizontal="center" vertical="top" wrapText="1"/>
    </xf>
    <xf numFmtId="0" fontId="2" fillId="0" borderId="1" xfId="0" applyNumberFormat="1" applyFont="1" applyFill="1" applyBorder="1" applyAlignment="1">
      <alignment horizontal="center" vertical="top" wrapText="1"/>
    </xf>
    <xf numFmtId="0" fontId="3" fillId="2" borderId="0" xfId="0" applyNumberFormat="1" applyFont="1" applyFill="1" applyAlignment="1">
      <alignment horizontal="center" wrapText="1"/>
    </xf>
    <xf numFmtId="0" fontId="2" fillId="0" borderId="0" xfId="0" applyNumberFormat="1" applyFont="1" applyBorder="1" applyAlignment="1">
      <alignment horizontal="center" vertical="top" wrapText="1"/>
    </xf>
    <xf numFmtId="165" fontId="3" fillId="2" borderId="0" xfId="0" applyNumberFormat="1" applyFont="1" applyFill="1" applyAlignment="1">
      <alignment horizontal="center" textRotation="90"/>
    </xf>
    <xf numFmtId="165" fontId="0" fillId="0" borderId="0" xfId="0" applyNumberFormat="1" applyAlignment="1">
      <alignment horizontal="center" vertical="top"/>
    </xf>
    <xf numFmtId="165" fontId="2" fillId="0" borderId="0" xfId="0" applyNumberFormat="1" applyFont="1" applyFill="1" applyAlignment="1">
      <alignment horizontal="center" vertical="top"/>
    </xf>
    <xf numFmtId="165" fontId="0" fillId="0" borderId="0" xfId="0" applyNumberFormat="1" applyFill="1" applyAlignment="1">
      <alignment horizontal="center" vertical="top"/>
    </xf>
    <xf numFmtId="2" fontId="3" fillId="2" borderId="0" xfId="0" applyNumberFormat="1" applyFont="1" applyFill="1" applyAlignment="1">
      <alignment horizontal="center" wrapText="1"/>
    </xf>
    <xf numFmtId="2" fontId="2" fillId="0" borderId="0" xfId="0" applyNumberFormat="1" applyFont="1" applyFill="1" applyAlignment="1">
      <alignment horizontal="center" vertical="top" wrapText="1"/>
    </xf>
    <xf numFmtId="2" fontId="2" fillId="0" borderId="0" xfId="0" applyNumberFormat="1" applyFont="1" applyBorder="1" applyAlignment="1">
      <alignment horizontal="center" vertical="top" wrapText="1"/>
    </xf>
    <xf numFmtId="165" fontId="3" fillId="2" borderId="0" xfId="0" applyNumberFormat="1" applyFont="1" applyFill="1" applyAlignment="1">
      <alignment horizontal="center" wrapText="1"/>
    </xf>
    <xf numFmtId="165" fontId="2" fillId="0" borderId="0" xfId="0" applyNumberFormat="1" applyFont="1" applyFill="1" applyAlignment="1">
      <alignment horizontal="center" vertical="top" wrapText="1"/>
    </xf>
    <xf numFmtId="165" fontId="2" fillId="0" borderId="0" xfId="0" applyNumberFormat="1" applyFont="1" applyBorder="1" applyAlignment="1">
      <alignment horizontal="center" vertical="top" wrapText="1"/>
    </xf>
    <xf numFmtId="0" fontId="4" fillId="7" borderId="0" xfId="0" applyFont="1" applyFill="1" applyAlignment="1">
      <alignment vertical="top" wrapText="1"/>
    </xf>
    <xf numFmtId="167" fontId="2" fillId="0" borderId="0" xfId="0" quotePrefix="1" applyNumberFormat="1" applyFont="1" applyFill="1" applyAlignment="1">
      <alignment horizontal="center" vertical="top" wrapText="1"/>
    </xf>
    <xf numFmtId="2" fontId="2" fillId="0" borderId="0" xfId="0" applyNumberFormat="1" applyFont="1" applyFill="1" applyAlignment="1">
      <alignment vertical="top"/>
    </xf>
    <xf numFmtId="2" fontId="2" fillId="6" borderId="0" xfId="0" applyNumberFormat="1" applyFont="1" applyFill="1" applyAlignment="1">
      <alignment vertical="top"/>
    </xf>
    <xf numFmtId="22" fontId="1" fillId="0" borderId="0" xfId="0" applyNumberFormat="1" applyFont="1" applyFill="1" applyAlignment="1"/>
    <xf numFmtId="0" fontId="10" fillId="8" borderId="0" xfId="0" applyFont="1" applyFill="1" applyAlignment="1">
      <alignment horizontal="center"/>
    </xf>
    <xf numFmtId="0" fontId="2" fillId="0" borderId="0" xfId="0" applyFont="1" applyAlignment="1">
      <alignment horizontal="center" vertical="top"/>
    </xf>
    <xf numFmtId="168" fontId="1" fillId="0" borderId="0" xfId="0" applyNumberFormat="1" applyFont="1" applyFill="1" applyAlignment="1"/>
    <xf numFmtId="0" fontId="4" fillId="9" borderId="0" xfId="0" applyFont="1" applyFill="1" applyAlignment="1">
      <alignment vertical="top" wrapText="1"/>
    </xf>
    <xf numFmtId="0" fontId="10" fillId="8" borderId="0" xfId="0" applyFont="1" applyFill="1" applyAlignment="1">
      <alignment horizontal="center" wrapText="1"/>
    </xf>
    <xf numFmtId="12" fontId="3" fillId="2" borderId="0" xfId="0" applyNumberFormat="1" applyFont="1" applyFill="1" applyAlignment="1">
      <alignment horizontal="center" textRotation="90"/>
    </xf>
    <xf numFmtId="12" fontId="0" fillId="0" borderId="0" xfId="0" applyNumberFormat="1" applyAlignment="1">
      <alignment horizontal="center" vertical="top"/>
    </xf>
    <xf numFmtId="12" fontId="2" fillId="0" borderId="0" xfId="0" quotePrefix="1" applyNumberFormat="1" applyFont="1" applyFill="1" applyAlignment="1">
      <alignment horizontal="center" vertical="top"/>
    </xf>
    <xf numFmtId="12" fontId="0" fillId="0" borderId="0" xfId="0" quotePrefix="1" applyNumberFormat="1" applyFill="1" applyAlignment="1">
      <alignment horizontal="center" vertical="top"/>
    </xf>
    <xf numFmtId="12" fontId="2" fillId="0" borderId="0" xfId="0" quotePrefix="1" applyNumberFormat="1" applyFont="1" applyFill="1" applyBorder="1" applyAlignment="1">
      <alignment horizontal="center" vertical="top"/>
    </xf>
    <xf numFmtId="12" fontId="0" fillId="0" borderId="0" xfId="0" applyNumberFormat="1" applyFill="1" applyAlignment="1">
      <alignment horizontal="center" vertical="top"/>
    </xf>
    <xf numFmtId="2" fontId="3" fillId="2" borderId="0" xfId="0" applyNumberFormat="1" applyFont="1" applyFill="1" applyAlignment="1"/>
    <xf numFmtId="2" fontId="0" fillId="0" borderId="0" xfId="0" applyNumberFormat="1" applyAlignment="1">
      <alignment vertical="top"/>
    </xf>
    <xf numFmtId="166" fontId="3" fillId="2" borderId="0" xfId="0" applyNumberFormat="1" applyFont="1" applyFill="1" applyAlignment="1">
      <alignment horizontal="center" wrapText="1"/>
    </xf>
    <xf numFmtId="164" fontId="2" fillId="0" borderId="0" xfId="0" applyNumberFormat="1" applyFont="1" applyFill="1" applyAlignment="1">
      <alignment horizontal="center" vertical="top"/>
    </xf>
    <xf numFmtId="0" fontId="3" fillId="2" borderId="0" xfId="0" applyFont="1" applyFill="1" applyBorder="1" applyAlignment="1">
      <alignment textRotation="90" wrapText="1"/>
    </xf>
    <xf numFmtId="167" fontId="3" fillId="2" borderId="0" xfId="0" applyNumberFormat="1" applyFont="1" applyFill="1" applyBorder="1" applyAlignment="1">
      <alignment horizontal="center" wrapText="1"/>
    </xf>
    <xf numFmtId="165" fontId="3" fillId="2" borderId="0" xfId="0" applyNumberFormat="1" applyFont="1" applyFill="1" applyBorder="1" applyAlignment="1">
      <alignment textRotation="90"/>
    </xf>
    <xf numFmtId="0" fontId="3" fillId="2" borderId="0" xfId="0" applyFont="1" applyFill="1" applyBorder="1" applyAlignment="1">
      <alignment horizontal="center" textRotation="90"/>
    </xf>
    <xf numFmtId="0" fontId="3" fillId="2" borderId="0" xfId="0" applyFont="1" applyFill="1" applyBorder="1" applyAlignment="1">
      <alignment textRotation="90"/>
    </xf>
    <xf numFmtId="0" fontId="3" fillId="2" borderId="0" xfId="0" applyFont="1" applyFill="1" applyBorder="1" applyAlignment="1">
      <alignment wrapText="1"/>
    </xf>
    <xf numFmtId="166" fontId="3" fillId="2" borderId="0" xfId="0" applyNumberFormat="1" applyFont="1" applyFill="1" applyBorder="1" applyAlignment="1"/>
    <xf numFmtId="0" fontId="3" fillId="2" borderId="0" xfId="0" applyFont="1" applyFill="1" applyBorder="1" applyAlignment="1"/>
    <xf numFmtId="0" fontId="3" fillId="0" borderId="0" xfId="0" applyFont="1" applyFill="1" applyBorder="1" applyAlignment="1"/>
    <xf numFmtId="0" fontId="3" fillId="0" borderId="0" xfId="0" applyFont="1" applyFill="1" applyBorder="1" applyAlignment="1">
      <alignment textRotation="90" wrapText="1"/>
    </xf>
    <xf numFmtId="0" fontId="4" fillId="0" borderId="0" xfId="0" applyFont="1" applyFill="1" applyBorder="1" applyAlignment="1">
      <alignment vertical="top" wrapText="1"/>
    </xf>
    <xf numFmtId="166" fontId="2" fillId="0" borderId="0" xfId="0" applyNumberFormat="1" applyFont="1" applyFill="1" applyBorder="1" applyAlignment="1">
      <alignment horizontal="right" vertical="top"/>
    </xf>
    <xf numFmtId="165" fontId="3" fillId="0" borderId="0" xfId="0" applyNumberFormat="1" applyFont="1" applyFill="1" applyBorder="1" applyAlignment="1">
      <alignment textRotation="90"/>
    </xf>
    <xf numFmtId="0" fontId="3" fillId="0" borderId="0" xfId="0" applyFont="1" applyFill="1" applyBorder="1" applyAlignment="1">
      <alignment wrapText="1"/>
    </xf>
    <xf numFmtId="166" fontId="3" fillId="0" borderId="0" xfId="0" applyNumberFormat="1" applyFont="1" applyFill="1" applyBorder="1" applyAlignment="1"/>
    <xf numFmtId="0" fontId="2" fillId="6" borderId="0" xfId="0" applyFont="1" applyFill="1" applyBorder="1" applyAlignment="1">
      <alignment vertical="top"/>
    </xf>
    <xf numFmtId="165" fontId="2" fillId="0" borderId="0" xfId="0" applyNumberFormat="1" applyFont="1" applyFill="1" applyBorder="1" applyAlignment="1">
      <alignment horizontal="center" vertical="top"/>
    </xf>
    <xf numFmtId="0" fontId="0" fillId="0" borderId="0" xfId="0" applyFill="1" applyBorder="1" applyAlignment="1">
      <alignment vertical="top" wrapText="1"/>
    </xf>
    <xf numFmtId="16" fontId="0" fillId="0" borderId="0" xfId="0" quotePrefix="1" applyNumberFormat="1" applyFill="1" applyBorder="1" applyAlignment="1">
      <alignment horizontal="center" vertical="top"/>
    </xf>
    <xf numFmtId="0" fontId="0" fillId="0" borderId="0" xfId="0" applyFill="1" applyBorder="1" applyAlignment="1">
      <alignment vertical="top"/>
    </xf>
    <xf numFmtId="0" fontId="11" fillId="0" borderId="0" xfId="0" applyFont="1" applyFill="1" applyBorder="1" applyAlignment="1">
      <alignment vertical="top" wrapText="1"/>
    </xf>
    <xf numFmtId="0" fontId="0" fillId="0" borderId="0" xfId="0" applyFill="1" applyBorder="1" applyAlignment="1">
      <alignment horizontal="center" vertical="top"/>
    </xf>
    <xf numFmtId="165" fontId="0" fillId="0" borderId="0" xfId="0" applyNumberFormat="1" applyFill="1" applyBorder="1" applyAlignment="1">
      <alignment vertical="top"/>
    </xf>
    <xf numFmtId="0" fontId="2" fillId="0" borderId="0" xfId="0" applyFont="1" applyFill="1" applyBorder="1" applyAlignment="1">
      <alignment horizontal="center" vertical="top"/>
    </xf>
    <xf numFmtId="165" fontId="2" fillId="0" borderId="0" xfId="0" applyNumberFormat="1" applyFont="1" applyBorder="1" applyAlignment="1">
      <alignment vertical="top"/>
    </xf>
    <xf numFmtId="0" fontId="1" fillId="0" borderId="0" xfId="0" applyFont="1" applyFill="1" applyBorder="1" applyAlignment="1">
      <alignment vertical="top" wrapText="1"/>
    </xf>
    <xf numFmtId="165" fontId="1" fillId="0" borderId="0" xfId="0" applyNumberFormat="1" applyFont="1" applyFill="1" applyBorder="1" applyAlignment="1">
      <alignment vertical="top"/>
    </xf>
    <xf numFmtId="0" fontId="1" fillId="0" borderId="0" xfId="0" applyFont="1" applyFill="1" applyBorder="1" applyAlignment="1">
      <alignment vertical="top"/>
    </xf>
    <xf numFmtId="0" fontId="5" fillId="0" borderId="0" xfId="0" applyFont="1" applyFill="1" applyBorder="1" applyAlignment="1">
      <alignment vertical="top" wrapText="1"/>
    </xf>
    <xf numFmtId="166" fontId="1" fillId="0" borderId="0" xfId="0" applyNumberFormat="1" applyFont="1" applyFill="1" applyBorder="1" applyAlignment="1">
      <alignment vertical="top"/>
    </xf>
    <xf numFmtId="166" fontId="0" fillId="0" borderId="0" xfId="0" applyNumberFormat="1" applyFill="1" applyBorder="1" applyAlignment="1">
      <alignment vertical="top"/>
    </xf>
    <xf numFmtId="16" fontId="0" fillId="0" borderId="0" xfId="0" quotePrefix="1" applyNumberFormat="1" applyBorder="1" applyAlignment="1">
      <alignment horizontal="center" vertical="top"/>
    </xf>
    <xf numFmtId="0" fontId="2" fillId="7" borderId="0" xfId="0" applyNumberFormat="1" applyFont="1" applyFill="1" applyAlignment="1">
      <alignment horizontal="center" vertical="top" wrapText="1"/>
    </xf>
    <xf numFmtId="165" fontId="0" fillId="7" borderId="0" xfId="0" applyNumberFormat="1" applyFill="1" applyAlignment="1">
      <alignment vertical="top"/>
    </xf>
    <xf numFmtId="165" fontId="2" fillId="7" borderId="0" xfId="0" applyNumberFormat="1" applyFont="1" applyFill="1" applyAlignment="1">
      <alignment vertical="top"/>
    </xf>
    <xf numFmtId="16" fontId="2" fillId="7" borderId="0" xfId="0" quotePrefix="1" applyNumberFormat="1" applyFont="1" applyFill="1" applyAlignment="1">
      <alignment horizontal="center" vertical="top"/>
    </xf>
    <xf numFmtId="0" fontId="0" fillId="7" borderId="0" xfId="0" applyFill="1" applyAlignment="1">
      <alignment vertical="top"/>
    </xf>
    <xf numFmtId="167" fontId="2" fillId="7" borderId="0" xfId="0" applyNumberFormat="1" applyFont="1" applyFill="1" applyAlignment="1">
      <alignment horizontal="center" vertical="top" wrapText="1"/>
    </xf>
    <xf numFmtId="166" fontId="2" fillId="7" borderId="0" xfId="0" applyNumberFormat="1" applyFont="1" applyFill="1" applyAlignment="1">
      <alignment vertical="top"/>
    </xf>
    <xf numFmtId="165" fontId="3" fillId="2" borderId="0" xfId="0" applyNumberFormat="1" applyFont="1" applyFill="1" applyBorder="1" applyAlignment="1">
      <alignment horizontal="center" textRotation="90"/>
    </xf>
    <xf numFmtId="0" fontId="3" fillId="3" borderId="0" xfId="0" applyFont="1" applyFill="1" applyBorder="1" applyAlignment="1"/>
    <xf numFmtId="0" fontId="0" fillId="3" borderId="0" xfId="0" applyFill="1" applyBorder="1" applyAlignment="1">
      <alignment vertical="top" wrapText="1"/>
    </xf>
    <xf numFmtId="167" fontId="2" fillId="3" borderId="0" xfId="0" applyNumberFormat="1" applyFont="1" applyFill="1" applyBorder="1" applyAlignment="1">
      <alignment horizontal="center" vertical="top" wrapText="1"/>
    </xf>
    <xf numFmtId="165" fontId="0" fillId="3" borderId="0" xfId="0" applyNumberFormat="1" applyFill="1" applyBorder="1" applyAlignment="1">
      <alignment vertical="top"/>
    </xf>
    <xf numFmtId="0" fontId="0" fillId="3" borderId="0" xfId="0" applyFill="1" applyBorder="1" applyAlignment="1">
      <alignment vertical="top"/>
    </xf>
    <xf numFmtId="166" fontId="2" fillId="3" borderId="0" xfId="0" applyNumberFormat="1" applyFont="1" applyFill="1" applyBorder="1" applyAlignment="1">
      <alignment vertical="top"/>
    </xf>
    <xf numFmtId="0" fontId="2" fillId="0" borderId="0" xfId="0" applyFont="1" applyBorder="1" applyAlignment="1">
      <alignment vertical="top"/>
    </xf>
    <xf numFmtId="165" fontId="2" fillId="0" borderId="0" xfId="0" applyNumberFormat="1" applyFont="1" applyBorder="1" applyAlignment="1">
      <alignment horizontal="center" vertical="top"/>
    </xf>
    <xf numFmtId="166" fontId="2" fillId="0" borderId="0" xfId="0" applyNumberFormat="1" applyFont="1" applyBorder="1" applyAlignment="1">
      <alignment vertical="top"/>
    </xf>
    <xf numFmtId="165" fontId="0" fillId="0" borderId="0" xfId="0" applyNumberFormat="1" applyFill="1" applyBorder="1" applyAlignment="1">
      <alignment horizontal="center" vertical="top"/>
    </xf>
    <xf numFmtId="165" fontId="2" fillId="0" borderId="0" xfId="0" applyNumberFormat="1" applyFont="1" applyFill="1" applyBorder="1" applyAlignment="1">
      <alignment horizontal="center" vertical="center"/>
    </xf>
    <xf numFmtId="165" fontId="0" fillId="0" borderId="0" xfId="0" applyNumberFormat="1" applyFill="1" applyBorder="1" applyAlignment="1">
      <alignment vertical="center"/>
    </xf>
    <xf numFmtId="165" fontId="0" fillId="0" borderId="0" xfId="0" applyNumberFormat="1" applyFill="1" applyBorder="1" applyAlignment="1">
      <alignment horizontal="center" vertical="center"/>
    </xf>
    <xf numFmtId="0" fontId="0" fillId="0" borderId="0" xfId="0" applyFill="1" applyBorder="1" applyAlignment="1">
      <alignment vertical="center"/>
    </xf>
    <xf numFmtId="165" fontId="0" fillId="0" borderId="0" xfId="0" applyNumberFormat="1" applyBorder="1" applyAlignment="1">
      <alignment horizontal="center" vertical="top"/>
    </xf>
    <xf numFmtId="0" fontId="10" fillId="2" borderId="0" xfId="0" applyFont="1" applyFill="1" applyAlignment="1">
      <alignment textRotation="90" wrapText="1"/>
    </xf>
    <xf numFmtId="0" fontId="2" fillId="0" borderId="0" xfId="0" applyFont="1" applyFill="1" applyAlignment="1"/>
    <xf numFmtId="0" fontId="2" fillId="10" borderId="0" xfId="0" applyFont="1" applyFill="1" applyAlignment="1">
      <alignment vertical="top" wrapText="1"/>
    </xf>
    <xf numFmtId="12" fontId="0" fillId="6" borderId="0" xfId="0" applyNumberFormat="1" applyFill="1" applyAlignment="1">
      <alignment horizontal="center" vertical="top"/>
    </xf>
    <xf numFmtId="12" fontId="2" fillId="0" borderId="0" xfId="0" applyNumberFormat="1" applyFont="1" applyFill="1" applyAlignment="1">
      <alignment horizontal="center" vertical="top"/>
    </xf>
    <xf numFmtId="12" fontId="2" fillId="6" borderId="0" xfId="0" applyNumberFormat="1" applyFont="1" applyFill="1" applyAlignment="1">
      <alignment horizontal="center" vertical="top"/>
    </xf>
    <xf numFmtId="12" fontId="3" fillId="0" borderId="0" xfId="0" applyNumberFormat="1" applyFont="1" applyFill="1" applyAlignment="1"/>
    <xf numFmtId="12" fontId="2" fillId="0" borderId="0" xfId="0" applyNumberFormat="1" applyFont="1" applyFill="1" applyAlignment="1">
      <alignment vertical="top"/>
    </xf>
    <xf numFmtId="12" fontId="3" fillId="0" borderId="0" xfId="0" applyNumberFormat="1" applyFont="1" applyFill="1" applyAlignment="1">
      <alignment textRotation="90"/>
    </xf>
    <xf numFmtId="12" fontId="1" fillId="0" borderId="0" xfId="0" applyNumberFormat="1" applyFont="1" applyFill="1" applyAlignment="1">
      <alignment horizontal="center" vertical="top"/>
    </xf>
    <xf numFmtId="12" fontId="2" fillId="6" borderId="0" xfId="0" quotePrefix="1" applyNumberFormat="1" applyFont="1" applyFill="1" applyAlignment="1">
      <alignment horizontal="center" vertical="top"/>
    </xf>
    <xf numFmtId="164" fontId="3" fillId="2" borderId="0" xfId="0" applyNumberFormat="1" applyFont="1" applyFill="1" applyAlignment="1">
      <alignment textRotation="90"/>
    </xf>
    <xf numFmtId="164" fontId="0" fillId="6" borderId="0" xfId="0" applyNumberFormat="1" applyFill="1" applyAlignment="1">
      <alignment vertical="top"/>
    </xf>
    <xf numFmtId="164" fontId="0" fillId="0" borderId="0" xfId="0" applyNumberFormat="1" applyFill="1" applyAlignment="1">
      <alignment vertical="top"/>
    </xf>
    <xf numFmtId="164" fontId="2" fillId="0" borderId="0" xfId="0" applyNumberFormat="1" applyFont="1" applyFill="1" applyAlignment="1">
      <alignment vertical="top"/>
    </xf>
    <xf numFmtId="164" fontId="2" fillId="6" borderId="0" xfId="0" applyNumberFormat="1" applyFont="1" applyFill="1" applyAlignment="1">
      <alignment vertical="top"/>
    </xf>
    <xf numFmtId="164" fontId="1" fillId="0" borderId="0" xfId="0" applyNumberFormat="1" applyFont="1" applyFill="1" applyAlignment="1">
      <alignment vertical="top"/>
    </xf>
    <xf numFmtId="164" fontId="0" fillId="0" borderId="0" xfId="0" applyNumberFormat="1" applyAlignment="1">
      <alignment vertical="top"/>
    </xf>
    <xf numFmtId="0" fontId="2" fillId="6" borderId="0" xfId="0" applyFont="1" applyFill="1" applyAlignment="1"/>
    <xf numFmtId="166" fontId="0" fillId="6" borderId="0" xfId="0" applyNumberFormat="1" applyFill="1" applyAlignment="1">
      <alignment vertical="top"/>
    </xf>
    <xf numFmtId="12" fontId="3" fillId="2" borderId="0" xfId="0" applyNumberFormat="1" applyFont="1" applyFill="1" applyBorder="1" applyAlignment="1">
      <alignment horizontal="center" textRotation="90"/>
    </xf>
    <xf numFmtId="12" fontId="0" fillId="0" borderId="0" xfId="0" applyNumberFormat="1" applyFill="1" applyBorder="1" applyAlignment="1">
      <alignment horizontal="center" vertical="top"/>
    </xf>
    <xf numFmtId="12" fontId="0" fillId="3" borderId="0" xfId="0" applyNumberFormat="1" applyFill="1" applyBorder="1" applyAlignment="1">
      <alignment horizontal="center" vertical="top"/>
    </xf>
    <xf numFmtId="12" fontId="3" fillId="0" borderId="0" xfId="0" applyNumberFormat="1" applyFont="1" applyFill="1" applyBorder="1" applyAlignment="1">
      <alignment textRotation="90"/>
    </xf>
    <xf numFmtId="12" fontId="2" fillId="0" borderId="0" xfId="0" applyNumberFormat="1" applyFont="1" applyFill="1" applyBorder="1" applyAlignment="1">
      <alignment horizontal="center" vertical="top"/>
    </xf>
    <xf numFmtId="12" fontId="2" fillId="0" borderId="0" xfId="0" applyNumberFormat="1" applyFont="1" applyBorder="1" applyAlignment="1">
      <alignment horizontal="center" vertical="top"/>
    </xf>
    <xf numFmtId="12" fontId="0" fillId="0" borderId="0" xfId="0" applyNumberFormat="1" applyFill="1" applyBorder="1" applyAlignment="1">
      <alignment horizontal="center" vertical="center"/>
    </xf>
    <xf numFmtId="12" fontId="0" fillId="0" borderId="0" xfId="0" applyNumberFormat="1" applyBorder="1" applyAlignment="1">
      <alignment horizontal="center" vertical="top"/>
    </xf>
    <xf numFmtId="165" fontId="2" fillId="0" borderId="0" xfId="0" applyNumberFormat="1" applyFont="1" applyFill="1" applyBorder="1" applyAlignment="1"/>
    <xf numFmtId="12" fontId="2" fillId="0" borderId="0" xfId="0" applyNumberFormat="1" applyFont="1" applyFill="1" applyBorder="1" applyAlignment="1">
      <alignment vertical="top"/>
    </xf>
    <xf numFmtId="12" fontId="0" fillId="0" borderId="0" xfId="0" quotePrefix="1" applyNumberFormat="1" applyFill="1" applyBorder="1" applyAlignment="1">
      <alignment horizontal="center" vertical="top"/>
    </xf>
    <xf numFmtId="12" fontId="0" fillId="0" borderId="0" xfId="0" quotePrefix="1" applyNumberFormat="1" applyBorder="1" applyAlignment="1">
      <alignment horizontal="center" vertical="top"/>
    </xf>
    <xf numFmtId="12" fontId="1" fillId="0" borderId="0" xfId="0" applyNumberFormat="1" applyFont="1" applyFill="1" applyBorder="1" applyAlignment="1">
      <alignment horizontal="center" vertical="top"/>
    </xf>
    <xf numFmtId="164" fontId="2" fillId="0" borderId="0" xfId="0" applyNumberFormat="1" applyFont="1" applyFill="1" applyBorder="1" applyAlignment="1">
      <alignment vertical="top"/>
    </xf>
    <xf numFmtId="0" fontId="2" fillId="0" borderId="0" xfId="0" applyNumberFormat="1" applyFont="1" applyFill="1" applyBorder="1" applyAlignment="1">
      <alignment vertical="top"/>
    </xf>
    <xf numFmtId="165" fontId="3" fillId="0" borderId="0" xfId="0" applyNumberFormat="1" applyFont="1" applyFill="1" applyBorder="1" applyAlignment="1">
      <alignment vertical="top"/>
    </xf>
    <xf numFmtId="12" fontId="3" fillId="6" borderId="0" xfId="0" applyNumberFormat="1" applyFont="1" applyFill="1" applyAlignment="1">
      <alignment textRotation="90"/>
    </xf>
    <xf numFmtId="164" fontId="2" fillId="0" borderId="0" xfId="0" applyNumberFormat="1" applyFont="1" applyFill="1" applyAlignment="1">
      <alignment horizontal="center" vertical="top" wrapText="1"/>
    </xf>
    <xf numFmtId="164" fontId="2" fillId="0" borderId="0" xfId="0" applyNumberFormat="1" applyFont="1" applyBorder="1" applyAlignment="1">
      <alignment vertical="top" wrapText="1"/>
    </xf>
    <xf numFmtId="2" fontId="2" fillId="0" borderId="0" xfId="0" applyNumberFormat="1" applyFont="1" applyBorder="1" applyAlignment="1">
      <alignment horizontal="right" vertical="top"/>
    </xf>
    <xf numFmtId="0" fontId="12" fillId="0" borderId="0" xfId="0" applyFont="1" applyFill="1" applyAlignment="1">
      <alignment vertical="top"/>
    </xf>
    <xf numFmtId="0" fontId="12" fillId="0" borderId="0" xfId="0" applyFont="1" applyFill="1" applyAlignment="1">
      <alignment vertical="top" wrapText="1"/>
    </xf>
    <xf numFmtId="167" fontId="12" fillId="0" borderId="0" xfId="0" applyNumberFormat="1" applyFont="1" applyFill="1" applyAlignment="1">
      <alignment horizontal="center" vertical="top" wrapText="1"/>
    </xf>
    <xf numFmtId="2" fontId="12" fillId="0" borderId="0" xfId="0" applyNumberFormat="1" applyFont="1" applyFill="1" applyAlignment="1">
      <alignment horizontal="center" vertical="top" wrapText="1"/>
    </xf>
    <xf numFmtId="165" fontId="12" fillId="0" borderId="0" xfId="0" applyNumberFormat="1" applyFont="1" applyFill="1" applyAlignment="1">
      <alignment horizontal="center" vertical="top" wrapText="1"/>
    </xf>
    <xf numFmtId="0" fontId="12" fillId="0" borderId="0" xfId="0" applyNumberFormat="1" applyFont="1" applyFill="1" applyAlignment="1">
      <alignment horizontal="center" vertical="top" wrapText="1"/>
    </xf>
    <xf numFmtId="165" fontId="12" fillId="0" borderId="0" xfId="0" applyNumberFormat="1" applyFont="1" applyFill="1" applyAlignment="1">
      <alignment vertical="top"/>
    </xf>
    <xf numFmtId="165" fontId="12" fillId="0" borderId="0" xfId="0" applyNumberFormat="1" applyFont="1" applyFill="1" applyAlignment="1">
      <alignment horizontal="center" vertical="top"/>
    </xf>
    <xf numFmtId="12" fontId="12" fillId="0" borderId="0" xfId="0" applyNumberFormat="1" applyFont="1" applyFill="1" applyAlignment="1">
      <alignment horizontal="center" vertical="top"/>
    </xf>
    <xf numFmtId="166" fontId="12" fillId="0" borderId="0" xfId="0" applyNumberFormat="1" applyFont="1" applyFill="1" applyAlignment="1">
      <alignment vertical="top"/>
    </xf>
    <xf numFmtId="2" fontId="12" fillId="0" borderId="0" xfId="0" applyNumberFormat="1" applyFont="1" applyAlignment="1">
      <alignment vertical="top"/>
    </xf>
    <xf numFmtId="0" fontId="12" fillId="0" borderId="0" xfId="0" applyFont="1" applyFill="1" applyAlignment="1">
      <alignment horizontal="center" vertical="top"/>
    </xf>
    <xf numFmtId="164" fontId="12" fillId="0" borderId="0" xfId="0" applyNumberFormat="1" applyFont="1" applyFill="1" applyAlignment="1">
      <alignment horizontal="center" vertical="top"/>
    </xf>
    <xf numFmtId="2" fontId="2" fillId="0" borderId="0" xfId="0" applyNumberFormat="1" applyFont="1" applyAlignment="1">
      <alignment vertical="top"/>
    </xf>
    <xf numFmtId="167" fontId="2" fillId="11" borderId="0" xfId="0" applyNumberFormat="1" applyFont="1" applyFill="1" applyBorder="1" applyAlignment="1">
      <alignment horizontal="center" vertical="top" wrapText="1"/>
    </xf>
    <xf numFmtId="167" fontId="2" fillId="12" borderId="0" xfId="0" applyNumberFormat="1" applyFont="1" applyFill="1" applyBorder="1" applyAlignment="1">
      <alignment horizontal="center" vertical="top" wrapText="1"/>
    </xf>
    <xf numFmtId="167" fontId="2" fillId="13" borderId="0" xfId="0" applyNumberFormat="1" applyFont="1" applyFill="1" applyBorder="1" applyAlignment="1">
      <alignment horizontal="center" vertical="top" wrapText="1"/>
    </xf>
    <xf numFmtId="0" fontId="3" fillId="2" borderId="0" xfId="0" applyFont="1" applyFill="1" applyAlignment="1">
      <alignment horizontal="center" wrapText="1"/>
    </xf>
    <xf numFmtId="0" fontId="0" fillId="0" borderId="0" xfId="0" applyAlignment="1">
      <alignment horizontal="center" vertical="top" wrapText="1"/>
    </xf>
    <xf numFmtId="0" fontId="2" fillId="0" borderId="0" xfId="0" applyFont="1" applyFill="1" applyAlignment="1">
      <alignment horizontal="center" vertical="top" wrapText="1"/>
    </xf>
    <xf numFmtId="0" fontId="3" fillId="0" borderId="0" xfId="0" applyFont="1" applyFill="1" applyAlignment="1">
      <alignment horizontal="center" wrapText="1"/>
    </xf>
    <xf numFmtId="0" fontId="0" fillId="0" borderId="0" xfId="0" applyFill="1" applyAlignment="1">
      <alignment horizontal="center" vertical="top" wrapText="1"/>
    </xf>
    <xf numFmtId="16" fontId="0" fillId="0" borderId="0" xfId="0" quotePrefix="1" applyNumberFormat="1" applyFill="1" applyAlignment="1">
      <alignment horizontal="center" vertical="top"/>
    </xf>
    <xf numFmtId="167" fontId="2" fillId="0" borderId="0" xfId="0" applyNumberFormat="1" applyFont="1" applyAlignment="1">
      <alignment horizontal="center" vertical="top"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hartsheet" Target="chartsheets/sheet3.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chartsheet" Target="chartsheets/sheet2.xml"/><Relationship Id="rId12" Type="http://schemas.openxmlformats.org/officeDocument/2006/relationships/worksheet" Target="worksheets/sheet9.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chartsheet" Target="chartsheets/sheet1.xml"/><Relationship Id="rId11" Type="http://schemas.openxmlformats.org/officeDocument/2006/relationships/worksheet" Target="worksheets/sheet8.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7.xml"/><Relationship Id="rId4" Type="http://schemas.openxmlformats.org/officeDocument/2006/relationships/worksheet" Target="worksheets/sheet4.xml"/><Relationship Id="rId9" Type="http://schemas.openxmlformats.org/officeDocument/2006/relationships/worksheet" Target="worksheets/sheet6.xml"/><Relationship Id="rId14" Type="http://schemas.openxmlformats.org/officeDocument/2006/relationships/styles" Target="styles.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5.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US"/>
              <a:t>Deep Sky Observations by Object Season</a:t>
            </a:r>
          </a:p>
        </c:rich>
      </c:tx>
      <c:layout>
        <c:manualLayout>
          <c:xMode val="edge"/>
          <c:yMode val="edge"/>
          <c:x val="0.24760076775431861"/>
          <c:y val="3.2338308457712031E-2"/>
        </c:manualLayout>
      </c:layout>
      <c:overlay val="0"/>
      <c:spPr>
        <a:noFill/>
        <a:ln w="25400">
          <a:noFill/>
        </a:ln>
      </c:spPr>
    </c:title>
    <c:autoTitleDeleted val="0"/>
    <c:plotArea>
      <c:layout>
        <c:manualLayout>
          <c:layoutTarget val="inner"/>
          <c:xMode val="edge"/>
          <c:yMode val="edge"/>
          <c:x val="0.12485593643496"/>
          <c:y val="0.13682189283900553"/>
          <c:w val="0.80676143542590062"/>
          <c:h val="0.63610178249713922"/>
        </c:manualLayout>
      </c:layout>
      <c:lineChart>
        <c:grouping val="standard"/>
        <c:varyColors val="0"/>
        <c:ser>
          <c:idx val="0"/>
          <c:order val="0"/>
          <c:tx>
            <c:strRef>
              <c:f>Summary!$B$1</c:f>
              <c:strCache>
                <c:ptCount val="1"/>
                <c:pt idx="0">
                  <c:v>Visual</c:v>
                </c:pt>
              </c:strCache>
            </c:strRef>
          </c:tx>
          <c:spPr>
            <a:ln w="38100">
              <a:solidFill>
                <a:srgbClr val="000080"/>
              </a:solidFill>
              <a:prstDash val="solid"/>
            </a:ln>
          </c:spPr>
          <c:marker>
            <c:symbol val="none"/>
          </c:marker>
          <c:cat>
            <c:strRef>
              <c:f>Summary!$A$2:$A$125</c:f>
              <c:strCache>
                <c:ptCount val="124"/>
                <c:pt idx="0">
                  <c:v>1977 Winter</c:v>
                </c:pt>
                <c:pt idx="1">
                  <c:v>1977 Spring</c:v>
                </c:pt>
                <c:pt idx="2">
                  <c:v>1977 Summer</c:v>
                </c:pt>
                <c:pt idx="3">
                  <c:v>1977 Fall</c:v>
                </c:pt>
                <c:pt idx="4">
                  <c:v>1978 Winter</c:v>
                </c:pt>
                <c:pt idx="5">
                  <c:v>1978 Spring</c:v>
                </c:pt>
                <c:pt idx="6">
                  <c:v>1978 Summer</c:v>
                </c:pt>
                <c:pt idx="7">
                  <c:v>1978 Fall</c:v>
                </c:pt>
                <c:pt idx="8">
                  <c:v>1979 Winter</c:v>
                </c:pt>
                <c:pt idx="9">
                  <c:v>1979 Spring</c:v>
                </c:pt>
                <c:pt idx="10">
                  <c:v>1979 Summer</c:v>
                </c:pt>
                <c:pt idx="11">
                  <c:v>1979 Fall</c:v>
                </c:pt>
                <c:pt idx="12">
                  <c:v>1980 Winter</c:v>
                </c:pt>
                <c:pt idx="13">
                  <c:v>1980 Spring</c:v>
                </c:pt>
                <c:pt idx="14">
                  <c:v>1980 Summer</c:v>
                </c:pt>
                <c:pt idx="15">
                  <c:v>1980 Fall</c:v>
                </c:pt>
                <c:pt idx="16">
                  <c:v>1981 Winter</c:v>
                </c:pt>
                <c:pt idx="17">
                  <c:v>1981 Spring</c:v>
                </c:pt>
                <c:pt idx="18">
                  <c:v>1981 Summer</c:v>
                </c:pt>
                <c:pt idx="19">
                  <c:v>1981 Fall</c:v>
                </c:pt>
                <c:pt idx="20">
                  <c:v>1982 Winter</c:v>
                </c:pt>
                <c:pt idx="21">
                  <c:v>1982 Spring</c:v>
                </c:pt>
                <c:pt idx="22">
                  <c:v>1982 Summer</c:v>
                </c:pt>
                <c:pt idx="23">
                  <c:v>1982 Fall</c:v>
                </c:pt>
                <c:pt idx="24">
                  <c:v>1983 Winter</c:v>
                </c:pt>
                <c:pt idx="25">
                  <c:v>1983 Spring</c:v>
                </c:pt>
                <c:pt idx="26">
                  <c:v>1983 Summer</c:v>
                </c:pt>
                <c:pt idx="27">
                  <c:v>1983 Fall</c:v>
                </c:pt>
                <c:pt idx="28">
                  <c:v>1984 Winter</c:v>
                </c:pt>
                <c:pt idx="29">
                  <c:v>1984 Spring</c:v>
                </c:pt>
                <c:pt idx="30">
                  <c:v>1984 Summer</c:v>
                </c:pt>
                <c:pt idx="31">
                  <c:v>1984 Fall</c:v>
                </c:pt>
                <c:pt idx="32">
                  <c:v>1985 Winter</c:v>
                </c:pt>
                <c:pt idx="33">
                  <c:v>1985 Spring</c:v>
                </c:pt>
                <c:pt idx="34">
                  <c:v>1985 Summer</c:v>
                </c:pt>
                <c:pt idx="35">
                  <c:v>1985 Fall</c:v>
                </c:pt>
                <c:pt idx="36">
                  <c:v>1986 Winter</c:v>
                </c:pt>
                <c:pt idx="37">
                  <c:v>1986 Spring</c:v>
                </c:pt>
                <c:pt idx="38">
                  <c:v>1986 Summer</c:v>
                </c:pt>
                <c:pt idx="39">
                  <c:v>1986 Fall</c:v>
                </c:pt>
                <c:pt idx="40">
                  <c:v>1987 Winter</c:v>
                </c:pt>
                <c:pt idx="41">
                  <c:v>1987 Spring</c:v>
                </c:pt>
                <c:pt idx="42">
                  <c:v>1987 Summer</c:v>
                </c:pt>
                <c:pt idx="43">
                  <c:v>1987 Fall</c:v>
                </c:pt>
                <c:pt idx="44">
                  <c:v>1988 Winter</c:v>
                </c:pt>
                <c:pt idx="45">
                  <c:v>1988 Spring</c:v>
                </c:pt>
                <c:pt idx="46">
                  <c:v>1988 Summer</c:v>
                </c:pt>
                <c:pt idx="47">
                  <c:v>1988 Fall</c:v>
                </c:pt>
                <c:pt idx="48">
                  <c:v>1989 Winter</c:v>
                </c:pt>
                <c:pt idx="49">
                  <c:v>1989 Spring</c:v>
                </c:pt>
                <c:pt idx="50">
                  <c:v>1989 Summer</c:v>
                </c:pt>
                <c:pt idx="51">
                  <c:v>1989 Fall</c:v>
                </c:pt>
                <c:pt idx="52">
                  <c:v>1990 Winter</c:v>
                </c:pt>
                <c:pt idx="53">
                  <c:v>1990 Spring</c:v>
                </c:pt>
                <c:pt idx="54">
                  <c:v>1990 Summer</c:v>
                </c:pt>
                <c:pt idx="55">
                  <c:v>1990 Fall</c:v>
                </c:pt>
                <c:pt idx="56">
                  <c:v>1991 Winter</c:v>
                </c:pt>
                <c:pt idx="57">
                  <c:v>1991 Spring</c:v>
                </c:pt>
                <c:pt idx="58">
                  <c:v>1991 Summer</c:v>
                </c:pt>
                <c:pt idx="59">
                  <c:v>1991 Fall</c:v>
                </c:pt>
                <c:pt idx="60">
                  <c:v>1992 Winter</c:v>
                </c:pt>
                <c:pt idx="61">
                  <c:v>1992 Spring</c:v>
                </c:pt>
                <c:pt idx="62">
                  <c:v>1992 Summer</c:v>
                </c:pt>
                <c:pt idx="63">
                  <c:v>1992 Fall</c:v>
                </c:pt>
                <c:pt idx="64">
                  <c:v>1993 Winter</c:v>
                </c:pt>
                <c:pt idx="65">
                  <c:v>1993 Spring</c:v>
                </c:pt>
                <c:pt idx="66">
                  <c:v>1993 Summer</c:v>
                </c:pt>
                <c:pt idx="67">
                  <c:v>1993 Fall</c:v>
                </c:pt>
                <c:pt idx="68">
                  <c:v>1994 Winter</c:v>
                </c:pt>
                <c:pt idx="69">
                  <c:v>1994 Spring</c:v>
                </c:pt>
                <c:pt idx="70">
                  <c:v>1994 Summer</c:v>
                </c:pt>
                <c:pt idx="71">
                  <c:v>1994 Fall</c:v>
                </c:pt>
                <c:pt idx="72">
                  <c:v>1995 Winter</c:v>
                </c:pt>
                <c:pt idx="73">
                  <c:v>1995 Spring</c:v>
                </c:pt>
                <c:pt idx="74">
                  <c:v>1995 Summer</c:v>
                </c:pt>
                <c:pt idx="75">
                  <c:v>1995 Fall</c:v>
                </c:pt>
                <c:pt idx="76">
                  <c:v>1996 Winter</c:v>
                </c:pt>
                <c:pt idx="77">
                  <c:v>1996 Spring</c:v>
                </c:pt>
                <c:pt idx="78">
                  <c:v>1996 Summer</c:v>
                </c:pt>
                <c:pt idx="79">
                  <c:v>1996 Fall</c:v>
                </c:pt>
                <c:pt idx="80">
                  <c:v>1997 Winter</c:v>
                </c:pt>
                <c:pt idx="81">
                  <c:v>1997 Spring</c:v>
                </c:pt>
                <c:pt idx="82">
                  <c:v>1997 Summer</c:v>
                </c:pt>
                <c:pt idx="83">
                  <c:v>1997 Fall</c:v>
                </c:pt>
                <c:pt idx="84">
                  <c:v>1998 Winter</c:v>
                </c:pt>
                <c:pt idx="85">
                  <c:v>1998 Spring</c:v>
                </c:pt>
                <c:pt idx="86">
                  <c:v>1998 Summer</c:v>
                </c:pt>
                <c:pt idx="87">
                  <c:v>1998 Fall</c:v>
                </c:pt>
                <c:pt idx="88">
                  <c:v>1999 Winter</c:v>
                </c:pt>
                <c:pt idx="89">
                  <c:v>1999 Spring</c:v>
                </c:pt>
                <c:pt idx="90">
                  <c:v>1999 Summer</c:v>
                </c:pt>
                <c:pt idx="91">
                  <c:v>1999 Fall</c:v>
                </c:pt>
                <c:pt idx="92">
                  <c:v>2000 Winter</c:v>
                </c:pt>
                <c:pt idx="93">
                  <c:v>2000 Spring</c:v>
                </c:pt>
                <c:pt idx="94">
                  <c:v>2000 Summer</c:v>
                </c:pt>
                <c:pt idx="95">
                  <c:v>2000 Fall</c:v>
                </c:pt>
                <c:pt idx="96">
                  <c:v>2001 Winter</c:v>
                </c:pt>
                <c:pt idx="97">
                  <c:v>2001 Spring</c:v>
                </c:pt>
                <c:pt idx="98">
                  <c:v>2001 Summer</c:v>
                </c:pt>
                <c:pt idx="99">
                  <c:v>2001 Fall</c:v>
                </c:pt>
                <c:pt idx="100">
                  <c:v>2002 Winter</c:v>
                </c:pt>
                <c:pt idx="101">
                  <c:v>2002 Spring</c:v>
                </c:pt>
                <c:pt idx="102">
                  <c:v>2002 Summer</c:v>
                </c:pt>
                <c:pt idx="103">
                  <c:v>2002 Fall</c:v>
                </c:pt>
                <c:pt idx="104">
                  <c:v>2003 Winter</c:v>
                </c:pt>
                <c:pt idx="105">
                  <c:v>2003 Spring</c:v>
                </c:pt>
                <c:pt idx="106">
                  <c:v>2003 Summer</c:v>
                </c:pt>
                <c:pt idx="107">
                  <c:v>2003 Fall</c:v>
                </c:pt>
                <c:pt idx="108">
                  <c:v>2004 Winter</c:v>
                </c:pt>
                <c:pt idx="109">
                  <c:v>2004 Spring</c:v>
                </c:pt>
                <c:pt idx="110">
                  <c:v>2004 Summer</c:v>
                </c:pt>
                <c:pt idx="111">
                  <c:v>2004 Fall</c:v>
                </c:pt>
                <c:pt idx="112">
                  <c:v>2005 Winter</c:v>
                </c:pt>
                <c:pt idx="113">
                  <c:v>2005 Spring</c:v>
                </c:pt>
                <c:pt idx="114">
                  <c:v>2005 Summer</c:v>
                </c:pt>
                <c:pt idx="115">
                  <c:v>2005 Fall</c:v>
                </c:pt>
                <c:pt idx="116">
                  <c:v>2006 Winter</c:v>
                </c:pt>
                <c:pt idx="117">
                  <c:v>2006 Spring</c:v>
                </c:pt>
                <c:pt idx="118">
                  <c:v>2006 Summer</c:v>
                </c:pt>
                <c:pt idx="119">
                  <c:v>2006 Fall</c:v>
                </c:pt>
                <c:pt idx="120">
                  <c:v>2007 Winter</c:v>
                </c:pt>
                <c:pt idx="121">
                  <c:v>2007 Spring</c:v>
                </c:pt>
                <c:pt idx="122">
                  <c:v>2007 Summer</c:v>
                </c:pt>
                <c:pt idx="123">
                  <c:v>2007 Fall</c:v>
                </c:pt>
              </c:strCache>
            </c:strRef>
          </c:cat>
          <c:val>
            <c:numRef>
              <c:f>Summary!$B$2:$B$125</c:f>
              <c:numCache>
                <c:formatCode>General</c:formatCode>
                <c:ptCount val="1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20</c:v>
                </c:pt>
                <c:pt idx="111">
                  <c:v>6</c:v>
                </c:pt>
                <c:pt idx="112">
                  <c:v>0</c:v>
                </c:pt>
                <c:pt idx="113">
                  <c:v>0</c:v>
                </c:pt>
                <c:pt idx="114">
                  <c:v>0</c:v>
                </c:pt>
                <c:pt idx="115">
                  <c:v>0</c:v>
                </c:pt>
                <c:pt idx="116">
                  <c:v>0</c:v>
                </c:pt>
                <c:pt idx="117">
                  <c:v>0</c:v>
                </c:pt>
                <c:pt idx="118">
                  <c:v>0</c:v>
                </c:pt>
                <c:pt idx="119">
                  <c:v>0</c:v>
                </c:pt>
                <c:pt idx="120">
                  <c:v>0</c:v>
                </c:pt>
                <c:pt idx="121">
                  <c:v>0</c:v>
                </c:pt>
                <c:pt idx="122">
                  <c:v>0</c:v>
                </c:pt>
                <c:pt idx="123">
                  <c:v>0</c:v>
                </c:pt>
              </c:numCache>
            </c:numRef>
          </c:val>
          <c:smooth val="0"/>
          <c:extLst>
            <c:ext xmlns:c16="http://schemas.microsoft.com/office/drawing/2014/chart" uri="{C3380CC4-5D6E-409C-BE32-E72D297353CC}">
              <c16:uniqueId val="{00000000-3FF5-4F2C-BD2E-971A7C569368}"/>
            </c:ext>
          </c:extLst>
        </c:ser>
        <c:ser>
          <c:idx val="1"/>
          <c:order val="1"/>
          <c:tx>
            <c:strRef>
              <c:f>Summary!$C$1</c:f>
              <c:strCache>
                <c:ptCount val="1"/>
                <c:pt idx="0">
                  <c:v>Imaging</c:v>
                </c:pt>
              </c:strCache>
            </c:strRef>
          </c:tx>
          <c:spPr>
            <a:ln w="38100">
              <a:solidFill>
                <a:srgbClr val="FF00FF"/>
              </a:solidFill>
              <a:prstDash val="solid"/>
            </a:ln>
          </c:spPr>
          <c:marker>
            <c:symbol val="none"/>
          </c:marker>
          <c:cat>
            <c:strRef>
              <c:f>Summary!$A$2:$A$125</c:f>
              <c:strCache>
                <c:ptCount val="124"/>
                <c:pt idx="0">
                  <c:v>1977 Winter</c:v>
                </c:pt>
                <c:pt idx="1">
                  <c:v>1977 Spring</c:v>
                </c:pt>
                <c:pt idx="2">
                  <c:v>1977 Summer</c:v>
                </c:pt>
                <c:pt idx="3">
                  <c:v>1977 Fall</c:v>
                </c:pt>
                <c:pt idx="4">
                  <c:v>1978 Winter</c:v>
                </c:pt>
                <c:pt idx="5">
                  <c:v>1978 Spring</c:v>
                </c:pt>
                <c:pt idx="6">
                  <c:v>1978 Summer</c:v>
                </c:pt>
                <c:pt idx="7">
                  <c:v>1978 Fall</c:v>
                </c:pt>
                <c:pt idx="8">
                  <c:v>1979 Winter</c:v>
                </c:pt>
                <c:pt idx="9">
                  <c:v>1979 Spring</c:v>
                </c:pt>
                <c:pt idx="10">
                  <c:v>1979 Summer</c:v>
                </c:pt>
                <c:pt idx="11">
                  <c:v>1979 Fall</c:v>
                </c:pt>
                <c:pt idx="12">
                  <c:v>1980 Winter</c:v>
                </c:pt>
                <c:pt idx="13">
                  <c:v>1980 Spring</c:v>
                </c:pt>
                <c:pt idx="14">
                  <c:v>1980 Summer</c:v>
                </c:pt>
                <c:pt idx="15">
                  <c:v>1980 Fall</c:v>
                </c:pt>
                <c:pt idx="16">
                  <c:v>1981 Winter</c:v>
                </c:pt>
                <c:pt idx="17">
                  <c:v>1981 Spring</c:v>
                </c:pt>
                <c:pt idx="18">
                  <c:v>1981 Summer</c:v>
                </c:pt>
                <c:pt idx="19">
                  <c:v>1981 Fall</c:v>
                </c:pt>
                <c:pt idx="20">
                  <c:v>1982 Winter</c:v>
                </c:pt>
                <c:pt idx="21">
                  <c:v>1982 Spring</c:v>
                </c:pt>
                <c:pt idx="22">
                  <c:v>1982 Summer</c:v>
                </c:pt>
                <c:pt idx="23">
                  <c:v>1982 Fall</c:v>
                </c:pt>
                <c:pt idx="24">
                  <c:v>1983 Winter</c:v>
                </c:pt>
                <c:pt idx="25">
                  <c:v>1983 Spring</c:v>
                </c:pt>
                <c:pt idx="26">
                  <c:v>1983 Summer</c:v>
                </c:pt>
                <c:pt idx="27">
                  <c:v>1983 Fall</c:v>
                </c:pt>
                <c:pt idx="28">
                  <c:v>1984 Winter</c:v>
                </c:pt>
                <c:pt idx="29">
                  <c:v>1984 Spring</c:v>
                </c:pt>
                <c:pt idx="30">
                  <c:v>1984 Summer</c:v>
                </c:pt>
                <c:pt idx="31">
                  <c:v>1984 Fall</c:v>
                </c:pt>
                <c:pt idx="32">
                  <c:v>1985 Winter</c:v>
                </c:pt>
                <c:pt idx="33">
                  <c:v>1985 Spring</c:v>
                </c:pt>
                <c:pt idx="34">
                  <c:v>1985 Summer</c:v>
                </c:pt>
                <c:pt idx="35">
                  <c:v>1985 Fall</c:v>
                </c:pt>
                <c:pt idx="36">
                  <c:v>1986 Winter</c:v>
                </c:pt>
                <c:pt idx="37">
                  <c:v>1986 Spring</c:v>
                </c:pt>
                <c:pt idx="38">
                  <c:v>1986 Summer</c:v>
                </c:pt>
                <c:pt idx="39">
                  <c:v>1986 Fall</c:v>
                </c:pt>
                <c:pt idx="40">
                  <c:v>1987 Winter</c:v>
                </c:pt>
                <c:pt idx="41">
                  <c:v>1987 Spring</c:v>
                </c:pt>
                <c:pt idx="42">
                  <c:v>1987 Summer</c:v>
                </c:pt>
                <c:pt idx="43">
                  <c:v>1987 Fall</c:v>
                </c:pt>
                <c:pt idx="44">
                  <c:v>1988 Winter</c:v>
                </c:pt>
                <c:pt idx="45">
                  <c:v>1988 Spring</c:v>
                </c:pt>
                <c:pt idx="46">
                  <c:v>1988 Summer</c:v>
                </c:pt>
                <c:pt idx="47">
                  <c:v>1988 Fall</c:v>
                </c:pt>
                <c:pt idx="48">
                  <c:v>1989 Winter</c:v>
                </c:pt>
                <c:pt idx="49">
                  <c:v>1989 Spring</c:v>
                </c:pt>
                <c:pt idx="50">
                  <c:v>1989 Summer</c:v>
                </c:pt>
                <c:pt idx="51">
                  <c:v>1989 Fall</c:v>
                </c:pt>
                <c:pt idx="52">
                  <c:v>1990 Winter</c:v>
                </c:pt>
                <c:pt idx="53">
                  <c:v>1990 Spring</c:v>
                </c:pt>
                <c:pt idx="54">
                  <c:v>1990 Summer</c:v>
                </c:pt>
                <c:pt idx="55">
                  <c:v>1990 Fall</c:v>
                </c:pt>
                <c:pt idx="56">
                  <c:v>1991 Winter</c:v>
                </c:pt>
                <c:pt idx="57">
                  <c:v>1991 Spring</c:v>
                </c:pt>
                <c:pt idx="58">
                  <c:v>1991 Summer</c:v>
                </c:pt>
                <c:pt idx="59">
                  <c:v>1991 Fall</c:v>
                </c:pt>
                <c:pt idx="60">
                  <c:v>1992 Winter</c:v>
                </c:pt>
                <c:pt idx="61">
                  <c:v>1992 Spring</c:v>
                </c:pt>
                <c:pt idx="62">
                  <c:v>1992 Summer</c:v>
                </c:pt>
                <c:pt idx="63">
                  <c:v>1992 Fall</c:v>
                </c:pt>
                <c:pt idx="64">
                  <c:v>1993 Winter</c:v>
                </c:pt>
                <c:pt idx="65">
                  <c:v>1993 Spring</c:v>
                </c:pt>
                <c:pt idx="66">
                  <c:v>1993 Summer</c:v>
                </c:pt>
                <c:pt idx="67">
                  <c:v>1993 Fall</c:v>
                </c:pt>
                <c:pt idx="68">
                  <c:v>1994 Winter</c:v>
                </c:pt>
                <c:pt idx="69">
                  <c:v>1994 Spring</c:v>
                </c:pt>
                <c:pt idx="70">
                  <c:v>1994 Summer</c:v>
                </c:pt>
                <c:pt idx="71">
                  <c:v>1994 Fall</c:v>
                </c:pt>
                <c:pt idx="72">
                  <c:v>1995 Winter</c:v>
                </c:pt>
                <c:pt idx="73">
                  <c:v>1995 Spring</c:v>
                </c:pt>
                <c:pt idx="74">
                  <c:v>1995 Summer</c:v>
                </c:pt>
                <c:pt idx="75">
                  <c:v>1995 Fall</c:v>
                </c:pt>
                <c:pt idx="76">
                  <c:v>1996 Winter</c:v>
                </c:pt>
                <c:pt idx="77">
                  <c:v>1996 Spring</c:v>
                </c:pt>
                <c:pt idx="78">
                  <c:v>1996 Summer</c:v>
                </c:pt>
                <c:pt idx="79">
                  <c:v>1996 Fall</c:v>
                </c:pt>
                <c:pt idx="80">
                  <c:v>1997 Winter</c:v>
                </c:pt>
                <c:pt idx="81">
                  <c:v>1997 Spring</c:v>
                </c:pt>
                <c:pt idx="82">
                  <c:v>1997 Summer</c:v>
                </c:pt>
                <c:pt idx="83">
                  <c:v>1997 Fall</c:v>
                </c:pt>
                <c:pt idx="84">
                  <c:v>1998 Winter</c:v>
                </c:pt>
                <c:pt idx="85">
                  <c:v>1998 Spring</c:v>
                </c:pt>
                <c:pt idx="86">
                  <c:v>1998 Summer</c:v>
                </c:pt>
                <c:pt idx="87">
                  <c:v>1998 Fall</c:v>
                </c:pt>
                <c:pt idx="88">
                  <c:v>1999 Winter</c:v>
                </c:pt>
                <c:pt idx="89">
                  <c:v>1999 Spring</c:v>
                </c:pt>
                <c:pt idx="90">
                  <c:v>1999 Summer</c:v>
                </c:pt>
                <c:pt idx="91">
                  <c:v>1999 Fall</c:v>
                </c:pt>
                <c:pt idx="92">
                  <c:v>2000 Winter</c:v>
                </c:pt>
                <c:pt idx="93">
                  <c:v>2000 Spring</c:v>
                </c:pt>
                <c:pt idx="94">
                  <c:v>2000 Summer</c:v>
                </c:pt>
                <c:pt idx="95">
                  <c:v>2000 Fall</c:v>
                </c:pt>
                <c:pt idx="96">
                  <c:v>2001 Winter</c:v>
                </c:pt>
                <c:pt idx="97">
                  <c:v>2001 Spring</c:v>
                </c:pt>
                <c:pt idx="98">
                  <c:v>2001 Summer</c:v>
                </c:pt>
                <c:pt idx="99">
                  <c:v>2001 Fall</c:v>
                </c:pt>
                <c:pt idx="100">
                  <c:v>2002 Winter</c:v>
                </c:pt>
                <c:pt idx="101">
                  <c:v>2002 Spring</c:v>
                </c:pt>
                <c:pt idx="102">
                  <c:v>2002 Summer</c:v>
                </c:pt>
                <c:pt idx="103">
                  <c:v>2002 Fall</c:v>
                </c:pt>
                <c:pt idx="104">
                  <c:v>2003 Winter</c:v>
                </c:pt>
                <c:pt idx="105">
                  <c:v>2003 Spring</c:v>
                </c:pt>
                <c:pt idx="106">
                  <c:v>2003 Summer</c:v>
                </c:pt>
                <c:pt idx="107">
                  <c:v>2003 Fall</c:v>
                </c:pt>
                <c:pt idx="108">
                  <c:v>2004 Winter</c:v>
                </c:pt>
                <c:pt idx="109">
                  <c:v>2004 Spring</c:v>
                </c:pt>
                <c:pt idx="110">
                  <c:v>2004 Summer</c:v>
                </c:pt>
                <c:pt idx="111">
                  <c:v>2004 Fall</c:v>
                </c:pt>
                <c:pt idx="112">
                  <c:v>2005 Winter</c:v>
                </c:pt>
                <c:pt idx="113">
                  <c:v>2005 Spring</c:v>
                </c:pt>
                <c:pt idx="114">
                  <c:v>2005 Summer</c:v>
                </c:pt>
                <c:pt idx="115">
                  <c:v>2005 Fall</c:v>
                </c:pt>
                <c:pt idx="116">
                  <c:v>2006 Winter</c:v>
                </c:pt>
                <c:pt idx="117">
                  <c:v>2006 Spring</c:v>
                </c:pt>
                <c:pt idx="118">
                  <c:v>2006 Summer</c:v>
                </c:pt>
                <c:pt idx="119">
                  <c:v>2006 Fall</c:v>
                </c:pt>
                <c:pt idx="120">
                  <c:v>2007 Winter</c:v>
                </c:pt>
                <c:pt idx="121">
                  <c:v>2007 Spring</c:v>
                </c:pt>
                <c:pt idx="122">
                  <c:v>2007 Summer</c:v>
                </c:pt>
                <c:pt idx="123">
                  <c:v>2007 Fall</c:v>
                </c:pt>
              </c:strCache>
            </c:strRef>
          </c:cat>
          <c:val>
            <c:numRef>
              <c:f>Summary!$C$2:$C$125</c:f>
              <c:numCache>
                <c:formatCode>General</c:formatCode>
                <c:ptCount val="1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50</c:v>
                </c:pt>
                <c:pt idx="111">
                  <c:v>28</c:v>
                </c:pt>
                <c:pt idx="112">
                  <c:v>0</c:v>
                </c:pt>
                <c:pt idx="113">
                  <c:v>0</c:v>
                </c:pt>
                <c:pt idx="114">
                  <c:v>0</c:v>
                </c:pt>
                <c:pt idx="115">
                  <c:v>0</c:v>
                </c:pt>
                <c:pt idx="116">
                  <c:v>0</c:v>
                </c:pt>
                <c:pt idx="117">
                  <c:v>0</c:v>
                </c:pt>
                <c:pt idx="118">
                  <c:v>0</c:v>
                </c:pt>
                <c:pt idx="119">
                  <c:v>0</c:v>
                </c:pt>
                <c:pt idx="120">
                  <c:v>0</c:v>
                </c:pt>
                <c:pt idx="121">
                  <c:v>0</c:v>
                </c:pt>
                <c:pt idx="122">
                  <c:v>0</c:v>
                </c:pt>
                <c:pt idx="123">
                  <c:v>0</c:v>
                </c:pt>
              </c:numCache>
            </c:numRef>
          </c:val>
          <c:smooth val="0"/>
          <c:extLst>
            <c:ext xmlns:c16="http://schemas.microsoft.com/office/drawing/2014/chart" uri="{C3380CC4-5D6E-409C-BE32-E72D297353CC}">
              <c16:uniqueId val="{00000001-3FF5-4F2C-BD2E-971A7C569368}"/>
            </c:ext>
          </c:extLst>
        </c:ser>
        <c:ser>
          <c:idx val="2"/>
          <c:order val="2"/>
          <c:tx>
            <c:strRef>
              <c:f>Summary!$D$1</c:f>
              <c:strCache>
                <c:ptCount val="1"/>
                <c:pt idx="0">
                  <c:v>Total</c:v>
                </c:pt>
              </c:strCache>
            </c:strRef>
          </c:tx>
          <c:spPr>
            <a:ln w="38100">
              <a:solidFill>
                <a:srgbClr val="FFFF00"/>
              </a:solidFill>
              <a:prstDash val="solid"/>
            </a:ln>
          </c:spPr>
          <c:marker>
            <c:symbol val="none"/>
          </c:marker>
          <c:cat>
            <c:strRef>
              <c:f>Summary!$A$2:$A$125</c:f>
              <c:strCache>
                <c:ptCount val="124"/>
                <c:pt idx="0">
                  <c:v>1977 Winter</c:v>
                </c:pt>
                <c:pt idx="1">
                  <c:v>1977 Spring</c:v>
                </c:pt>
                <c:pt idx="2">
                  <c:v>1977 Summer</c:v>
                </c:pt>
                <c:pt idx="3">
                  <c:v>1977 Fall</c:v>
                </c:pt>
                <c:pt idx="4">
                  <c:v>1978 Winter</c:v>
                </c:pt>
                <c:pt idx="5">
                  <c:v>1978 Spring</c:v>
                </c:pt>
                <c:pt idx="6">
                  <c:v>1978 Summer</c:v>
                </c:pt>
                <c:pt idx="7">
                  <c:v>1978 Fall</c:v>
                </c:pt>
                <c:pt idx="8">
                  <c:v>1979 Winter</c:v>
                </c:pt>
                <c:pt idx="9">
                  <c:v>1979 Spring</c:v>
                </c:pt>
                <c:pt idx="10">
                  <c:v>1979 Summer</c:v>
                </c:pt>
                <c:pt idx="11">
                  <c:v>1979 Fall</c:v>
                </c:pt>
                <c:pt idx="12">
                  <c:v>1980 Winter</c:v>
                </c:pt>
                <c:pt idx="13">
                  <c:v>1980 Spring</c:v>
                </c:pt>
                <c:pt idx="14">
                  <c:v>1980 Summer</c:v>
                </c:pt>
                <c:pt idx="15">
                  <c:v>1980 Fall</c:v>
                </c:pt>
                <c:pt idx="16">
                  <c:v>1981 Winter</c:v>
                </c:pt>
                <c:pt idx="17">
                  <c:v>1981 Spring</c:v>
                </c:pt>
                <c:pt idx="18">
                  <c:v>1981 Summer</c:v>
                </c:pt>
                <c:pt idx="19">
                  <c:v>1981 Fall</c:v>
                </c:pt>
                <c:pt idx="20">
                  <c:v>1982 Winter</c:v>
                </c:pt>
                <c:pt idx="21">
                  <c:v>1982 Spring</c:v>
                </c:pt>
                <c:pt idx="22">
                  <c:v>1982 Summer</c:v>
                </c:pt>
                <c:pt idx="23">
                  <c:v>1982 Fall</c:v>
                </c:pt>
                <c:pt idx="24">
                  <c:v>1983 Winter</c:v>
                </c:pt>
                <c:pt idx="25">
                  <c:v>1983 Spring</c:v>
                </c:pt>
                <c:pt idx="26">
                  <c:v>1983 Summer</c:v>
                </c:pt>
                <c:pt idx="27">
                  <c:v>1983 Fall</c:v>
                </c:pt>
                <c:pt idx="28">
                  <c:v>1984 Winter</c:v>
                </c:pt>
                <c:pt idx="29">
                  <c:v>1984 Spring</c:v>
                </c:pt>
                <c:pt idx="30">
                  <c:v>1984 Summer</c:v>
                </c:pt>
                <c:pt idx="31">
                  <c:v>1984 Fall</c:v>
                </c:pt>
                <c:pt idx="32">
                  <c:v>1985 Winter</c:v>
                </c:pt>
                <c:pt idx="33">
                  <c:v>1985 Spring</c:v>
                </c:pt>
                <c:pt idx="34">
                  <c:v>1985 Summer</c:v>
                </c:pt>
                <c:pt idx="35">
                  <c:v>1985 Fall</c:v>
                </c:pt>
                <c:pt idx="36">
                  <c:v>1986 Winter</c:v>
                </c:pt>
                <c:pt idx="37">
                  <c:v>1986 Spring</c:v>
                </c:pt>
                <c:pt idx="38">
                  <c:v>1986 Summer</c:v>
                </c:pt>
                <c:pt idx="39">
                  <c:v>1986 Fall</c:v>
                </c:pt>
                <c:pt idx="40">
                  <c:v>1987 Winter</c:v>
                </c:pt>
                <c:pt idx="41">
                  <c:v>1987 Spring</c:v>
                </c:pt>
                <c:pt idx="42">
                  <c:v>1987 Summer</c:v>
                </c:pt>
                <c:pt idx="43">
                  <c:v>1987 Fall</c:v>
                </c:pt>
                <c:pt idx="44">
                  <c:v>1988 Winter</c:v>
                </c:pt>
                <c:pt idx="45">
                  <c:v>1988 Spring</c:v>
                </c:pt>
                <c:pt idx="46">
                  <c:v>1988 Summer</c:v>
                </c:pt>
                <c:pt idx="47">
                  <c:v>1988 Fall</c:v>
                </c:pt>
                <c:pt idx="48">
                  <c:v>1989 Winter</c:v>
                </c:pt>
                <c:pt idx="49">
                  <c:v>1989 Spring</c:v>
                </c:pt>
                <c:pt idx="50">
                  <c:v>1989 Summer</c:v>
                </c:pt>
                <c:pt idx="51">
                  <c:v>1989 Fall</c:v>
                </c:pt>
                <c:pt idx="52">
                  <c:v>1990 Winter</c:v>
                </c:pt>
                <c:pt idx="53">
                  <c:v>1990 Spring</c:v>
                </c:pt>
                <c:pt idx="54">
                  <c:v>1990 Summer</c:v>
                </c:pt>
                <c:pt idx="55">
                  <c:v>1990 Fall</c:v>
                </c:pt>
                <c:pt idx="56">
                  <c:v>1991 Winter</c:v>
                </c:pt>
                <c:pt idx="57">
                  <c:v>1991 Spring</c:v>
                </c:pt>
                <c:pt idx="58">
                  <c:v>1991 Summer</c:v>
                </c:pt>
                <c:pt idx="59">
                  <c:v>1991 Fall</c:v>
                </c:pt>
                <c:pt idx="60">
                  <c:v>1992 Winter</c:v>
                </c:pt>
                <c:pt idx="61">
                  <c:v>1992 Spring</c:v>
                </c:pt>
                <c:pt idx="62">
                  <c:v>1992 Summer</c:v>
                </c:pt>
                <c:pt idx="63">
                  <c:v>1992 Fall</c:v>
                </c:pt>
                <c:pt idx="64">
                  <c:v>1993 Winter</c:v>
                </c:pt>
                <c:pt idx="65">
                  <c:v>1993 Spring</c:v>
                </c:pt>
                <c:pt idx="66">
                  <c:v>1993 Summer</c:v>
                </c:pt>
                <c:pt idx="67">
                  <c:v>1993 Fall</c:v>
                </c:pt>
                <c:pt idx="68">
                  <c:v>1994 Winter</c:v>
                </c:pt>
                <c:pt idx="69">
                  <c:v>1994 Spring</c:v>
                </c:pt>
                <c:pt idx="70">
                  <c:v>1994 Summer</c:v>
                </c:pt>
                <c:pt idx="71">
                  <c:v>1994 Fall</c:v>
                </c:pt>
                <c:pt idx="72">
                  <c:v>1995 Winter</c:v>
                </c:pt>
                <c:pt idx="73">
                  <c:v>1995 Spring</c:v>
                </c:pt>
                <c:pt idx="74">
                  <c:v>1995 Summer</c:v>
                </c:pt>
                <c:pt idx="75">
                  <c:v>1995 Fall</c:v>
                </c:pt>
                <c:pt idx="76">
                  <c:v>1996 Winter</c:v>
                </c:pt>
                <c:pt idx="77">
                  <c:v>1996 Spring</c:v>
                </c:pt>
                <c:pt idx="78">
                  <c:v>1996 Summer</c:v>
                </c:pt>
                <c:pt idx="79">
                  <c:v>1996 Fall</c:v>
                </c:pt>
                <c:pt idx="80">
                  <c:v>1997 Winter</c:v>
                </c:pt>
                <c:pt idx="81">
                  <c:v>1997 Spring</c:v>
                </c:pt>
                <c:pt idx="82">
                  <c:v>1997 Summer</c:v>
                </c:pt>
                <c:pt idx="83">
                  <c:v>1997 Fall</c:v>
                </c:pt>
                <c:pt idx="84">
                  <c:v>1998 Winter</c:v>
                </c:pt>
                <c:pt idx="85">
                  <c:v>1998 Spring</c:v>
                </c:pt>
                <c:pt idx="86">
                  <c:v>1998 Summer</c:v>
                </c:pt>
                <c:pt idx="87">
                  <c:v>1998 Fall</c:v>
                </c:pt>
                <c:pt idx="88">
                  <c:v>1999 Winter</c:v>
                </c:pt>
                <c:pt idx="89">
                  <c:v>1999 Spring</c:v>
                </c:pt>
                <c:pt idx="90">
                  <c:v>1999 Summer</c:v>
                </c:pt>
                <c:pt idx="91">
                  <c:v>1999 Fall</c:v>
                </c:pt>
                <c:pt idx="92">
                  <c:v>2000 Winter</c:v>
                </c:pt>
                <c:pt idx="93">
                  <c:v>2000 Spring</c:v>
                </c:pt>
                <c:pt idx="94">
                  <c:v>2000 Summer</c:v>
                </c:pt>
                <c:pt idx="95">
                  <c:v>2000 Fall</c:v>
                </c:pt>
                <c:pt idx="96">
                  <c:v>2001 Winter</c:v>
                </c:pt>
                <c:pt idx="97">
                  <c:v>2001 Spring</c:v>
                </c:pt>
                <c:pt idx="98">
                  <c:v>2001 Summer</c:v>
                </c:pt>
                <c:pt idx="99">
                  <c:v>2001 Fall</c:v>
                </c:pt>
                <c:pt idx="100">
                  <c:v>2002 Winter</c:v>
                </c:pt>
                <c:pt idx="101">
                  <c:v>2002 Spring</c:v>
                </c:pt>
                <c:pt idx="102">
                  <c:v>2002 Summer</c:v>
                </c:pt>
                <c:pt idx="103">
                  <c:v>2002 Fall</c:v>
                </c:pt>
                <c:pt idx="104">
                  <c:v>2003 Winter</c:v>
                </c:pt>
                <c:pt idx="105">
                  <c:v>2003 Spring</c:v>
                </c:pt>
                <c:pt idx="106">
                  <c:v>2003 Summer</c:v>
                </c:pt>
                <c:pt idx="107">
                  <c:v>2003 Fall</c:v>
                </c:pt>
                <c:pt idx="108">
                  <c:v>2004 Winter</c:v>
                </c:pt>
                <c:pt idx="109">
                  <c:v>2004 Spring</c:v>
                </c:pt>
                <c:pt idx="110">
                  <c:v>2004 Summer</c:v>
                </c:pt>
                <c:pt idx="111">
                  <c:v>2004 Fall</c:v>
                </c:pt>
                <c:pt idx="112">
                  <c:v>2005 Winter</c:v>
                </c:pt>
                <c:pt idx="113">
                  <c:v>2005 Spring</c:v>
                </c:pt>
                <c:pt idx="114">
                  <c:v>2005 Summer</c:v>
                </c:pt>
                <c:pt idx="115">
                  <c:v>2005 Fall</c:v>
                </c:pt>
                <c:pt idx="116">
                  <c:v>2006 Winter</c:v>
                </c:pt>
                <c:pt idx="117">
                  <c:v>2006 Spring</c:v>
                </c:pt>
                <c:pt idx="118">
                  <c:v>2006 Summer</c:v>
                </c:pt>
                <c:pt idx="119">
                  <c:v>2006 Fall</c:v>
                </c:pt>
                <c:pt idx="120">
                  <c:v>2007 Winter</c:v>
                </c:pt>
                <c:pt idx="121">
                  <c:v>2007 Spring</c:v>
                </c:pt>
                <c:pt idx="122">
                  <c:v>2007 Summer</c:v>
                </c:pt>
                <c:pt idx="123">
                  <c:v>2007 Fall</c:v>
                </c:pt>
              </c:strCache>
            </c:strRef>
          </c:cat>
          <c:val>
            <c:numRef>
              <c:f>Summary!$D$2:$D$125</c:f>
              <c:numCache>
                <c:formatCode>General</c:formatCode>
                <c:ptCount val="1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70</c:v>
                </c:pt>
                <c:pt idx="111">
                  <c:v>34</c:v>
                </c:pt>
                <c:pt idx="112">
                  <c:v>0</c:v>
                </c:pt>
                <c:pt idx="113">
                  <c:v>0</c:v>
                </c:pt>
                <c:pt idx="114">
                  <c:v>0</c:v>
                </c:pt>
                <c:pt idx="115">
                  <c:v>0</c:v>
                </c:pt>
                <c:pt idx="116">
                  <c:v>0</c:v>
                </c:pt>
                <c:pt idx="117">
                  <c:v>0</c:v>
                </c:pt>
                <c:pt idx="118">
                  <c:v>0</c:v>
                </c:pt>
                <c:pt idx="119">
                  <c:v>0</c:v>
                </c:pt>
                <c:pt idx="120">
                  <c:v>0</c:v>
                </c:pt>
                <c:pt idx="121">
                  <c:v>0</c:v>
                </c:pt>
                <c:pt idx="122">
                  <c:v>0</c:v>
                </c:pt>
                <c:pt idx="123">
                  <c:v>0</c:v>
                </c:pt>
              </c:numCache>
            </c:numRef>
          </c:val>
          <c:smooth val="0"/>
          <c:extLst>
            <c:ext xmlns:c16="http://schemas.microsoft.com/office/drawing/2014/chart" uri="{C3380CC4-5D6E-409C-BE32-E72D297353CC}">
              <c16:uniqueId val="{00000002-3FF5-4F2C-BD2E-971A7C569368}"/>
            </c:ext>
          </c:extLst>
        </c:ser>
        <c:dLbls>
          <c:showLegendKey val="0"/>
          <c:showVal val="0"/>
          <c:showCatName val="0"/>
          <c:showSerName val="0"/>
          <c:showPercent val="0"/>
          <c:showBubbleSize val="0"/>
        </c:dLbls>
        <c:smooth val="0"/>
        <c:axId val="139028352"/>
        <c:axId val="139029888"/>
      </c:lineChart>
      <c:catAx>
        <c:axId val="139028352"/>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850" b="0" i="0" u="none" strike="noStrike" baseline="0">
                <a:solidFill>
                  <a:srgbClr val="000000"/>
                </a:solidFill>
                <a:latin typeface="Arial"/>
                <a:ea typeface="Arial"/>
                <a:cs typeface="Arial"/>
              </a:defRPr>
            </a:pPr>
            <a:endParaRPr lang="en-US"/>
          </a:p>
        </c:txPr>
        <c:crossAx val="139029888"/>
        <c:crosses val="autoZero"/>
        <c:auto val="1"/>
        <c:lblAlgn val="ctr"/>
        <c:lblOffset val="100"/>
        <c:tickLblSkip val="4"/>
        <c:tickMarkSkip val="4"/>
        <c:noMultiLvlLbl val="0"/>
      </c:catAx>
      <c:valAx>
        <c:axId val="139029888"/>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en-US"/>
          </a:p>
        </c:txPr>
        <c:crossAx val="139028352"/>
        <c:crosses val="autoZero"/>
        <c:crossBetween val="between"/>
      </c:valAx>
      <c:spPr>
        <a:solidFill>
          <a:srgbClr val="C0C0C0"/>
        </a:solidFill>
        <a:ln w="12700">
          <a:solidFill>
            <a:srgbClr val="808080"/>
          </a:solidFill>
          <a:prstDash val="solid"/>
        </a:ln>
      </c:spPr>
    </c:plotArea>
    <c:legend>
      <c:legendPos val="r"/>
      <c:layout>
        <c:manualLayout>
          <c:xMode val="edge"/>
          <c:yMode val="edge"/>
          <c:x val="0.24010760651079843"/>
          <c:y val="0.22323578955615644"/>
          <c:w val="0.14022276965859487"/>
          <c:h val="0.13682192710985666"/>
        </c:manualLayout>
      </c:layout>
      <c:overlay val="0"/>
      <c:spPr>
        <a:solidFill>
          <a:srgbClr val="FFFFFF"/>
        </a:solidFill>
        <a:ln w="3175">
          <a:solidFill>
            <a:srgbClr val="000000"/>
          </a:solidFill>
          <a:prstDash val="solid"/>
        </a:ln>
      </c:spPr>
      <c:txPr>
        <a:bodyPr/>
        <a:lstStyle/>
        <a:p>
          <a:pPr>
            <a:defRPr sz="26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50" b="0" i="0" u="none" strike="noStrike" baseline="0">
          <a:solidFill>
            <a:srgbClr val="000000"/>
          </a:solidFill>
          <a:latin typeface="Arial"/>
          <a:ea typeface="Arial"/>
          <a:cs typeface="Arial"/>
        </a:defRPr>
      </a:pPr>
      <a:endParaRPr lang="en-US"/>
    </a:p>
  </c:txPr>
  <c:printSettings>
    <c:headerFooter alignWithMargins="0"/>
    <c:pageMargins b="1" l="0.75000000000000744" r="0.75000000000000744" t="1" header="0.5" footer="0.5"/>
    <c:pageSetup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000" b="1" i="0" u="none" strike="noStrike" baseline="0">
                <a:solidFill>
                  <a:srgbClr val="000000"/>
                </a:solidFill>
                <a:latin typeface="Calibri"/>
                <a:ea typeface="Calibri"/>
                <a:cs typeface="Calibri"/>
              </a:defRPr>
            </a:pPr>
            <a:r>
              <a:rPr lang="en-US"/>
              <a:t>Mars Seasonal Coverage</a:t>
            </a:r>
          </a:p>
        </c:rich>
      </c:tx>
      <c:overlay val="0"/>
    </c:title>
    <c:autoTitleDeleted val="0"/>
    <c:plotArea>
      <c:layout>
        <c:manualLayout>
          <c:layoutTarget val="inner"/>
          <c:xMode val="edge"/>
          <c:yMode val="edge"/>
          <c:x val="8.3608360836085874E-2"/>
          <c:y val="8.7878787878787459E-2"/>
          <c:w val="0.80748074807480752"/>
          <c:h val="0.78787878787878785"/>
        </c:manualLayout>
      </c:layout>
      <c:bubbleChart>
        <c:varyColors val="0"/>
        <c:ser>
          <c:idx val="2"/>
          <c:order val="0"/>
          <c:tx>
            <c:v>1975</c:v>
          </c:tx>
          <c:spPr>
            <a:noFill/>
            <a:ln w="28575">
              <a:solidFill>
                <a:srgbClr val="C00000"/>
              </a:solidFill>
            </a:ln>
          </c:spPr>
          <c:invertIfNegative val="0"/>
          <c:xVal>
            <c:numRef>
              <c:f>Mars!$F$2:$F$6</c:f>
              <c:numCache>
                <c:formatCode>General</c:formatCode>
                <c:ptCount val="5"/>
                <c:pt idx="0">
                  <c:v>353</c:v>
                </c:pt>
                <c:pt idx="1">
                  <c:v>353</c:v>
                </c:pt>
                <c:pt idx="2">
                  <c:v>359</c:v>
                </c:pt>
                <c:pt idx="3">
                  <c:v>359</c:v>
                </c:pt>
                <c:pt idx="4">
                  <c:v>0</c:v>
                </c:pt>
              </c:numCache>
            </c:numRef>
          </c:xVal>
          <c:yVal>
            <c:numRef>
              <c:f>Mars!$G$2:$G$6</c:f>
              <c:numCache>
                <c:formatCode>0.0</c:formatCode>
                <c:ptCount val="5"/>
                <c:pt idx="0">
                  <c:v>16.5</c:v>
                </c:pt>
                <c:pt idx="1">
                  <c:v>16.5</c:v>
                </c:pt>
                <c:pt idx="2">
                  <c:v>16.3</c:v>
                </c:pt>
                <c:pt idx="3">
                  <c:v>16.3</c:v>
                </c:pt>
                <c:pt idx="4">
                  <c:v>16.2</c:v>
                </c:pt>
              </c:numCache>
            </c:numRef>
          </c:yVal>
          <c:bubbleSize>
            <c:numRef>
              <c:f>Mars!$Y$2:$Y$6</c:f>
              <c:numCache>
                <c:formatCode>0.000</c:formatCode>
                <c:ptCount val="5"/>
                <c:pt idx="0">
                  <c:v>0.1215197227872846</c:v>
                </c:pt>
                <c:pt idx="1">
                  <c:v>9.3073217246339879E-2</c:v>
                </c:pt>
                <c:pt idx="2">
                  <c:v>0.19811288585409603</c:v>
                </c:pt>
                <c:pt idx="3">
                  <c:v>0.20357101915875681</c:v>
                </c:pt>
                <c:pt idx="4">
                  <c:v>0.15959476718818966</c:v>
                </c:pt>
              </c:numCache>
            </c:numRef>
          </c:bubbleSize>
          <c:bubble3D val="0"/>
          <c:extLst>
            <c:ext xmlns:c16="http://schemas.microsoft.com/office/drawing/2014/chart" uri="{C3380CC4-5D6E-409C-BE32-E72D297353CC}">
              <c16:uniqueId val="{00000000-7A86-41A2-B03C-AE777C81B9D3}"/>
            </c:ext>
          </c:extLst>
        </c:ser>
        <c:ser>
          <c:idx val="4"/>
          <c:order val="1"/>
          <c:tx>
            <c:v>1977-78</c:v>
          </c:tx>
          <c:spPr>
            <a:noFill/>
            <a:ln w="28575" cmpd="sng">
              <a:solidFill>
                <a:srgbClr val="FFC000"/>
              </a:solidFill>
            </a:ln>
            <a:effectLst>
              <a:glow>
                <a:schemeClr val="accent1">
                  <a:alpha val="24000"/>
                </a:schemeClr>
              </a:glow>
            </a:effectLst>
          </c:spPr>
          <c:invertIfNegative val="0"/>
          <c:xVal>
            <c:numRef>
              <c:f>Mars!$F$7:$F$31</c:f>
              <c:numCache>
                <c:formatCode>General</c:formatCode>
                <c:ptCount val="25"/>
                <c:pt idx="0">
                  <c:v>279</c:v>
                </c:pt>
                <c:pt idx="1">
                  <c:v>280</c:v>
                </c:pt>
                <c:pt idx="2">
                  <c:v>349</c:v>
                </c:pt>
                <c:pt idx="3">
                  <c:v>349</c:v>
                </c:pt>
                <c:pt idx="4">
                  <c:v>349</c:v>
                </c:pt>
                <c:pt idx="5">
                  <c:v>10</c:v>
                </c:pt>
                <c:pt idx="6">
                  <c:v>10</c:v>
                </c:pt>
                <c:pt idx="7">
                  <c:v>23</c:v>
                </c:pt>
                <c:pt idx="8">
                  <c:v>27</c:v>
                </c:pt>
                <c:pt idx="9">
                  <c:v>27</c:v>
                </c:pt>
                <c:pt idx="10">
                  <c:v>27</c:v>
                </c:pt>
                <c:pt idx="11">
                  <c:v>27</c:v>
                </c:pt>
                <c:pt idx="12">
                  <c:v>27</c:v>
                </c:pt>
                <c:pt idx="13">
                  <c:v>27</c:v>
                </c:pt>
                <c:pt idx="14">
                  <c:v>37</c:v>
                </c:pt>
                <c:pt idx="15">
                  <c:v>37</c:v>
                </c:pt>
                <c:pt idx="16">
                  <c:v>37</c:v>
                </c:pt>
                <c:pt idx="17">
                  <c:v>37</c:v>
                </c:pt>
                <c:pt idx="18">
                  <c:v>37</c:v>
                </c:pt>
                <c:pt idx="19">
                  <c:v>68</c:v>
                </c:pt>
                <c:pt idx="20">
                  <c:v>68</c:v>
                </c:pt>
                <c:pt idx="21">
                  <c:v>76</c:v>
                </c:pt>
                <c:pt idx="22">
                  <c:v>79</c:v>
                </c:pt>
                <c:pt idx="23">
                  <c:v>95</c:v>
                </c:pt>
                <c:pt idx="24">
                  <c:v>95</c:v>
                </c:pt>
              </c:numCache>
            </c:numRef>
          </c:xVal>
          <c:yVal>
            <c:numRef>
              <c:f>Mars!$G$7:$G$31</c:f>
              <c:numCache>
                <c:formatCode>0.0</c:formatCode>
                <c:ptCount val="25"/>
                <c:pt idx="0">
                  <c:v>5</c:v>
                </c:pt>
                <c:pt idx="1">
                  <c:v>5</c:v>
                </c:pt>
                <c:pt idx="2">
                  <c:v>7.7</c:v>
                </c:pt>
                <c:pt idx="3">
                  <c:v>7.7</c:v>
                </c:pt>
                <c:pt idx="4">
                  <c:v>7.7</c:v>
                </c:pt>
                <c:pt idx="5">
                  <c:v>10.5</c:v>
                </c:pt>
                <c:pt idx="6">
                  <c:v>10.5</c:v>
                </c:pt>
                <c:pt idx="7">
                  <c:v>13</c:v>
                </c:pt>
                <c:pt idx="8">
                  <c:v>13.6</c:v>
                </c:pt>
                <c:pt idx="9">
                  <c:v>13.6</c:v>
                </c:pt>
                <c:pt idx="10">
                  <c:v>13.6</c:v>
                </c:pt>
                <c:pt idx="11">
                  <c:v>13.6</c:v>
                </c:pt>
                <c:pt idx="12">
                  <c:v>13.6</c:v>
                </c:pt>
                <c:pt idx="13">
                  <c:v>13.6</c:v>
                </c:pt>
                <c:pt idx="14">
                  <c:v>14.3</c:v>
                </c:pt>
                <c:pt idx="15">
                  <c:v>14.3</c:v>
                </c:pt>
                <c:pt idx="16">
                  <c:v>14.3</c:v>
                </c:pt>
                <c:pt idx="17">
                  <c:v>14.3</c:v>
                </c:pt>
                <c:pt idx="18">
                  <c:v>14.3</c:v>
                </c:pt>
                <c:pt idx="19">
                  <c:v>8.9</c:v>
                </c:pt>
                <c:pt idx="20">
                  <c:v>8.9</c:v>
                </c:pt>
                <c:pt idx="21">
                  <c:v>7.3</c:v>
                </c:pt>
                <c:pt idx="22">
                  <c:v>7</c:v>
                </c:pt>
                <c:pt idx="23">
                  <c:v>5.7</c:v>
                </c:pt>
                <c:pt idx="24">
                  <c:v>5.6</c:v>
                </c:pt>
              </c:numCache>
            </c:numRef>
          </c:yVal>
          <c:bubbleSize>
            <c:numRef>
              <c:f>Mars!$Y$7:$Y$31</c:f>
              <c:numCache>
                <c:formatCode>0.000</c:formatCode>
                <c:ptCount val="25"/>
                <c:pt idx="0">
                  <c:v>5.8160999997392181E-2</c:v>
                </c:pt>
                <c:pt idx="1">
                  <c:v>6.1602614361143206E-2</c:v>
                </c:pt>
                <c:pt idx="2">
                  <c:v>0.29757295959111324</c:v>
                </c:pt>
                <c:pt idx="3">
                  <c:v>0.28848975346157812</c:v>
                </c:pt>
                <c:pt idx="4">
                  <c:v>0.29089386310828103</c:v>
                </c:pt>
                <c:pt idx="5">
                  <c:v>6.3825137770316329E-2</c:v>
                </c:pt>
                <c:pt idx="6">
                  <c:v>0.10031672303339209</c:v>
                </c:pt>
                <c:pt idx="7">
                  <c:v>0.18677239879130531</c:v>
                </c:pt>
                <c:pt idx="8">
                  <c:v>0.16755911106230947</c:v>
                </c:pt>
                <c:pt idx="9">
                  <c:v>0.22276467547494647</c:v>
                </c:pt>
                <c:pt idx="10">
                  <c:v>0.24070746033058482</c:v>
                </c:pt>
                <c:pt idx="11">
                  <c:v>0.24957725149837076</c:v>
                </c:pt>
                <c:pt idx="12">
                  <c:v>0.30948397770159775</c:v>
                </c:pt>
                <c:pt idx="13">
                  <c:v>0.34956981888439631</c:v>
                </c:pt>
                <c:pt idx="14">
                  <c:v>0.14655357820707132</c:v>
                </c:pt>
                <c:pt idx="15">
                  <c:v>0.24369813606431948</c:v>
                </c:pt>
                <c:pt idx="16">
                  <c:v>0.27167380274354874</c:v>
                </c:pt>
                <c:pt idx="17">
                  <c:v>0.30785646453849641</c:v>
                </c:pt>
                <c:pt idx="18">
                  <c:v>0.33404787567859245</c:v>
                </c:pt>
                <c:pt idx="19">
                  <c:v>0.3439479662806374</c:v>
                </c:pt>
                <c:pt idx="20">
                  <c:v>0.35072714633670421</c:v>
                </c:pt>
                <c:pt idx="21">
                  <c:v>0.27350327276227537</c:v>
                </c:pt>
                <c:pt idx="22">
                  <c:v>0.26444896646207366</c:v>
                </c:pt>
                <c:pt idx="23">
                  <c:v>0.14974323834941253</c:v>
                </c:pt>
                <c:pt idx="24">
                  <c:v>0.13415830054660485</c:v>
                </c:pt>
              </c:numCache>
            </c:numRef>
          </c:bubbleSize>
          <c:bubble3D val="0"/>
          <c:extLst>
            <c:ext xmlns:c16="http://schemas.microsoft.com/office/drawing/2014/chart" uri="{C3380CC4-5D6E-409C-BE32-E72D297353CC}">
              <c16:uniqueId val="{00000001-7A86-41A2-B03C-AE777C81B9D3}"/>
            </c:ext>
          </c:extLst>
        </c:ser>
        <c:ser>
          <c:idx val="0"/>
          <c:order val="2"/>
          <c:tx>
            <c:v>1982</c:v>
          </c:tx>
          <c:spPr>
            <a:noFill/>
            <a:ln w="28575">
              <a:solidFill>
                <a:srgbClr val="92D050"/>
              </a:solidFill>
            </a:ln>
          </c:spPr>
          <c:invertIfNegative val="0"/>
          <c:xVal>
            <c:numRef>
              <c:f>Mars!$F$32:$F$32</c:f>
              <c:numCache>
                <c:formatCode>General</c:formatCode>
                <c:ptCount val="1"/>
                <c:pt idx="0">
                  <c:v>152</c:v>
                </c:pt>
              </c:numCache>
            </c:numRef>
          </c:xVal>
          <c:yVal>
            <c:numRef>
              <c:f>Mars!$G$32:$G$32</c:f>
              <c:numCache>
                <c:formatCode>0.0</c:formatCode>
                <c:ptCount val="1"/>
                <c:pt idx="0">
                  <c:v>8.4</c:v>
                </c:pt>
              </c:numCache>
            </c:numRef>
          </c:yVal>
          <c:bubbleSize>
            <c:numRef>
              <c:f>Mars!$Y$32:$Y$32</c:f>
              <c:numCache>
                <c:formatCode>0.000</c:formatCode>
                <c:ptCount val="1"/>
                <c:pt idx="0">
                  <c:v>0.11498170552270429</c:v>
                </c:pt>
              </c:numCache>
            </c:numRef>
          </c:bubbleSize>
          <c:bubble3D val="0"/>
          <c:extLst>
            <c:ext xmlns:c16="http://schemas.microsoft.com/office/drawing/2014/chart" uri="{C3380CC4-5D6E-409C-BE32-E72D297353CC}">
              <c16:uniqueId val="{00000002-7A86-41A2-B03C-AE777C81B9D3}"/>
            </c:ext>
          </c:extLst>
        </c:ser>
        <c:ser>
          <c:idx val="3"/>
          <c:order val="3"/>
          <c:tx>
            <c:v>1993</c:v>
          </c:tx>
          <c:spPr>
            <a:noFill/>
            <a:ln w="28575">
              <a:solidFill>
                <a:srgbClr val="00B050"/>
              </a:solidFill>
            </a:ln>
          </c:spPr>
          <c:invertIfNegative val="0"/>
          <c:xVal>
            <c:numRef>
              <c:f>Mars!$F$35:$F$35</c:f>
              <c:numCache>
                <c:formatCode>General</c:formatCode>
                <c:ptCount val="1"/>
                <c:pt idx="0">
                  <c:v>43</c:v>
                </c:pt>
              </c:numCache>
            </c:numRef>
          </c:xVal>
          <c:yVal>
            <c:numRef>
              <c:f>Mars!$G$35:$G$35</c:f>
              <c:numCache>
                <c:formatCode>0.0</c:formatCode>
                <c:ptCount val="1"/>
                <c:pt idx="0">
                  <c:v>10.9</c:v>
                </c:pt>
              </c:numCache>
            </c:numRef>
          </c:yVal>
          <c:bubbleSize>
            <c:numRef>
              <c:f>Mars!$Y$35:$Y$35</c:f>
              <c:numCache>
                <c:formatCode>0.000</c:formatCode>
                <c:ptCount val="1"/>
                <c:pt idx="0">
                  <c:v>0.41821483244246732</c:v>
                </c:pt>
              </c:numCache>
            </c:numRef>
          </c:bubbleSize>
          <c:bubble3D val="0"/>
          <c:extLst>
            <c:ext xmlns:c16="http://schemas.microsoft.com/office/drawing/2014/chart" uri="{C3380CC4-5D6E-409C-BE32-E72D297353CC}">
              <c16:uniqueId val="{00000003-7A86-41A2-B03C-AE777C81B9D3}"/>
            </c:ext>
          </c:extLst>
        </c:ser>
        <c:ser>
          <c:idx val="1"/>
          <c:order val="4"/>
          <c:tx>
            <c:v>1994-95</c:v>
          </c:tx>
          <c:spPr>
            <a:noFill/>
            <a:ln w="28575">
              <a:solidFill>
                <a:srgbClr val="00B0F0"/>
              </a:solidFill>
            </a:ln>
          </c:spPr>
          <c:invertIfNegative val="0"/>
          <c:xVal>
            <c:numRef>
              <c:f>Mars!$F$36:$F$55</c:f>
              <c:numCache>
                <c:formatCode>General</c:formatCode>
                <c:ptCount val="20"/>
                <c:pt idx="0">
                  <c:v>23</c:v>
                </c:pt>
                <c:pt idx="1">
                  <c:v>23</c:v>
                </c:pt>
                <c:pt idx="2">
                  <c:v>33</c:v>
                </c:pt>
                <c:pt idx="3">
                  <c:v>33</c:v>
                </c:pt>
                <c:pt idx="4">
                  <c:v>40</c:v>
                </c:pt>
                <c:pt idx="5">
                  <c:v>40</c:v>
                </c:pt>
                <c:pt idx="6">
                  <c:v>40</c:v>
                </c:pt>
                <c:pt idx="7">
                  <c:v>42</c:v>
                </c:pt>
                <c:pt idx="8">
                  <c:v>45</c:v>
                </c:pt>
                <c:pt idx="9">
                  <c:v>49</c:v>
                </c:pt>
                <c:pt idx="10">
                  <c:v>49</c:v>
                </c:pt>
                <c:pt idx="11">
                  <c:v>51</c:v>
                </c:pt>
                <c:pt idx="12">
                  <c:v>51</c:v>
                </c:pt>
                <c:pt idx="13">
                  <c:v>55</c:v>
                </c:pt>
                <c:pt idx="14">
                  <c:v>55</c:v>
                </c:pt>
                <c:pt idx="15">
                  <c:v>60</c:v>
                </c:pt>
                <c:pt idx="16">
                  <c:v>60</c:v>
                </c:pt>
                <c:pt idx="17">
                  <c:v>65</c:v>
                </c:pt>
                <c:pt idx="18">
                  <c:v>74</c:v>
                </c:pt>
                <c:pt idx="19">
                  <c:v>79</c:v>
                </c:pt>
              </c:numCache>
            </c:numRef>
          </c:xVal>
          <c:yVal>
            <c:numRef>
              <c:f>Mars!$G$36:$G$55</c:f>
              <c:numCache>
                <c:formatCode>0.0</c:formatCode>
                <c:ptCount val="20"/>
                <c:pt idx="0">
                  <c:v>8.3000000000000007</c:v>
                </c:pt>
                <c:pt idx="1">
                  <c:v>8.3000000000000007</c:v>
                </c:pt>
                <c:pt idx="2">
                  <c:v>9.9</c:v>
                </c:pt>
                <c:pt idx="3">
                  <c:v>9.9</c:v>
                </c:pt>
                <c:pt idx="4">
                  <c:v>11.2</c:v>
                </c:pt>
                <c:pt idx="5">
                  <c:v>11.2</c:v>
                </c:pt>
                <c:pt idx="6">
                  <c:v>11.2</c:v>
                </c:pt>
                <c:pt idx="7">
                  <c:v>11.8</c:v>
                </c:pt>
                <c:pt idx="8">
                  <c:v>12.4</c:v>
                </c:pt>
                <c:pt idx="9">
                  <c:v>13.1</c:v>
                </c:pt>
                <c:pt idx="10">
                  <c:v>13.1</c:v>
                </c:pt>
                <c:pt idx="11">
                  <c:v>13.4</c:v>
                </c:pt>
                <c:pt idx="12">
                  <c:v>13.4</c:v>
                </c:pt>
                <c:pt idx="13">
                  <c:v>13.8</c:v>
                </c:pt>
                <c:pt idx="14">
                  <c:v>13.8</c:v>
                </c:pt>
                <c:pt idx="15">
                  <c:v>13.8</c:v>
                </c:pt>
                <c:pt idx="16">
                  <c:v>13.8</c:v>
                </c:pt>
                <c:pt idx="17">
                  <c:v>13.3</c:v>
                </c:pt>
                <c:pt idx="18">
                  <c:v>11.5</c:v>
                </c:pt>
                <c:pt idx="19">
                  <c:v>10.3</c:v>
                </c:pt>
              </c:numCache>
            </c:numRef>
          </c:yVal>
          <c:bubbleSize>
            <c:numRef>
              <c:f>Mars!$Y$36:$Y$55</c:f>
              <c:numCache>
                <c:formatCode>0.000</c:formatCode>
                <c:ptCount val="20"/>
                <c:pt idx="0">
                  <c:v>0.3135609173764588</c:v>
                </c:pt>
                <c:pt idx="1">
                  <c:v>0.32296625216590463</c:v>
                </c:pt>
                <c:pt idx="2">
                  <c:v>0.15555975884040799</c:v>
                </c:pt>
                <c:pt idx="3">
                  <c:v>0.1816775580760199</c:v>
                </c:pt>
                <c:pt idx="4">
                  <c:v>0.19822967321342277</c:v>
                </c:pt>
                <c:pt idx="5">
                  <c:v>0.19822967321342277</c:v>
                </c:pt>
                <c:pt idx="6">
                  <c:v>0.19822967321342277</c:v>
                </c:pt>
                <c:pt idx="7">
                  <c:v>0.26852286300579808</c:v>
                </c:pt>
                <c:pt idx="8">
                  <c:v>0.27460526565771309</c:v>
                </c:pt>
                <c:pt idx="9">
                  <c:v>0.282022355626175</c:v>
                </c:pt>
                <c:pt idx="10">
                  <c:v>0.3060158861111581</c:v>
                </c:pt>
                <c:pt idx="11">
                  <c:v>0.42181694015503113</c:v>
                </c:pt>
                <c:pt idx="12">
                  <c:v>0.44035830438093909</c:v>
                </c:pt>
                <c:pt idx="13">
                  <c:v>0.31403521266779777</c:v>
                </c:pt>
                <c:pt idx="14">
                  <c:v>0.38534957701461053</c:v>
                </c:pt>
                <c:pt idx="15">
                  <c:v>0.4210175841437665</c:v>
                </c:pt>
                <c:pt idx="16">
                  <c:v>0.54382411454455259</c:v>
                </c:pt>
                <c:pt idx="17">
                  <c:v>0.50645289683099914</c:v>
                </c:pt>
                <c:pt idx="18">
                  <c:v>0.4531867621204605</c:v>
                </c:pt>
                <c:pt idx="19">
                  <c:v>0.38256873176195921</c:v>
                </c:pt>
              </c:numCache>
            </c:numRef>
          </c:bubbleSize>
          <c:bubble3D val="0"/>
          <c:extLst>
            <c:ext xmlns:c16="http://schemas.microsoft.com/office/drawing/2014/chart" uri="{C3380CC4-5D6E-409C-BE32-E72D297353CC}">
              <c16:uniqueId val="{00000004-7A86-41A2-B03C-AE777C81B9D3}"/>
            </c:ext>
          </c:extLst>
        </c:ser>
        <c:ser>
          <c:idx val="5"/>
          <c:order val="5"/>
          <c:tx>
            <c:v>1998</c:v>
          </c:tx>
          <c:spPr>
            <a:noFill/>
            <a:ln w="28575">
              <a:solidFill>
                <a:srgbClr val="0070C0"/>
              </a:solidFill>
            </a:ln>
          </c:spPr>
          <c:invertIfNegative val="0"/>
          <c:xVal>
            <c:numRef>
              <c:f>Mars!$F$56:$F$56</c:f>
              <c:numCache>
                <c:formatCode>General</c:formatCode>
                <c:ptCount val="1"/>
                <c:pt idx="0">
                  <c:v>260</c:v>
                </c:pt>
              </c:numCache>
            </c:numRef>
          </c:xVal>
          <c:yVal>
            <c:numRef>
              <c:f>Mars!$G$56:$G$56</c:f>
              <c:numCache>
                <c:formatCode>0.0</c:formatCode>
                <c:ptCount val="1"/>
                <c:pt idx="0">
                  <c:v>4.3</c:v>
                </c:pt>
              </c:numCache>
            </c:numRef>
          </c:yVal>
          <c:bubbleSize>
            <c:numRef>
              <c:f>Mars!$Y$56:$Y$56</c:f>
              <c:numCache>
                <c:formatCode>0.000</c:formatCode>
                <c:ptCount val="1"/>
                <c:pt idx="0">
                  <c:v>4.4068558481846612E-2</c:v>
                </c:pt>
              </c:numCache>
            </c:numRef>
          </c:bubbleSize>
          <c:bubble3D val="0"/>
          <c:extLst>
            <c:ext xmlns:c16="http://schemas.microsoft.com/office/drawing/2014/chart" uri="{C3380CC4-5D6E-409C-BE32-E72D297353CC}">
              <c16:uniqueId val="{00000005-7A86-41A2-B03C-AE777C81B9D3}"/>
            </c:ext>
          </c:extLst>
        </c:ser>
        <c:ser>
          <c:idx val="6"/>
          <c:order val="6"/>
          <c:tx>
            <c:v>1999</c:v>
          </c:tx>
          <c:spPr>
            <a:noFill/>
            <a:ln w="28575">
              <a:solidFill>
                <a:srgbClr val="7030A0"/>
              </a:solidFill>
            </a:ln>
          </c:spPr>
          <c:invertIfNegative val="0"/>
          <c:xVal>
            <c:numRef>
              <c:f>Mars!$F$57:$F$57</c:f>
              <c:numCache>
                <c:formatCode>General</c:formatCode>
                <c:ptCount val="1"/>
                <c:pt idx="0">
                  <c:v>205</c:v>
                </c:pt>
              </c:numCache>
            </c:numRef>
          </c:xVal>
          <c:yVal>
            <c:numRef>
              <c:f>Mars!$G$57:$G$57</c:f>
              <c:numCache>
                <c:formatCode>0.0</c:formatCode>
                <c:ptCount val="1"/>
                <c:pt idx="0">
                  <c:v>7.5</c:v>
                </c:pt>
              </c:numCache>
            </c:numRef>
          </c:yVal>
          <c:bubbleSize>
            <c:numRef>
              <c:f>Mars!$Y$57:$Y$57</c:f>
              <c:numCache>
                <c:formatCode>0.000</c:formatCode>
                <c:ptCount val="1"/>
                <c:pt idx="0">
                  <c:v>0.1026622370738431</c:v>
                </c:pt>
              </c:numCache>
            </c:numRef>
          </c:bubbleSize>
          <c:bubble3D val="0"/>
          <c:extLst>
            <c:ext xmlns:c16="http://schemas.microsoft.com/office/drawing/2014/chart" uri="{C3380CC4-5D6E-409C-BE32-E72D297353CC}">
              <c16:uniqueId val="{00000006-7A86-41A2-B03C-AE777C81B9D3}"/>
            </c:ext>
          </c:extLst>
        </c:ser>
        <c:ser>
          <c:idx val="7"/>
          <c:order val="7"/>
          <c:tx>
            <c:v>2003</c:v>
          </c:tx>
          <c:spPr>
            <a:solidFill>
              <a:srgbClr val="C00000">
                <a:alpha val="67000"/>
              </a:srgbClr>
            </a:solidFill>
            <a:ln w="15875">
              <a:solidFill>
                <a:schemeClr val="tx1"/>
              </a:solidFill>
            </a:ln>
          </c:spPr>
          <c:invertIfNegative val="0"/>
          <c:xVal>
            <c:numRef>
              <c:f>Mars!$F$58:$F$58</c:f>
              <c:numCache>
                <c:formatCode>General</c:formatCode>
                <c:ptCount val="1"/>
                <c:pt idx="0">
                  <c:v>250</c:v>
                </c:pt>
              </c:numCache>
            </c:numRef>
          </c:xVal>
          <c:yVal>
            <c:numRef>
              <c:f>Mars!$G$58:$G$58</c:f>
              <c:numCache>
                <c:formatCode>0.0</c:formatCode>
                <c:ptCount val="1"/>
                <c:pt idx="0">
                  <c:v>25.1</c:v>
                </c:pt>
              </c:numCache>
            </c:numRef>
          </c:yVal>
          <c:bubbleSize>
            <c:numRef>
              <c:f>Mars!$Y$58:$Y$58</c:f>
              <c:numCache>
                <c:formatCode>0.000</c:formatCode>
                <c:ptCount val="1"/>
                <c:pt idx="0">
                  <c:v>0.46061683916243434</c:v>
                </c:pt>
              </c:numCache>
            </c:numRef>
          </c:bubbleSize>
          <c:bubble3D val="0"/>
          <c:extLst>
            <c:ext xmlns:c16="http://schemas.microsoft.com/office/drawing/2014/chart" uri="{C3380CC4-5D6E-409C-BE32-E72D297353CC}">
              <c16:uniqueId val="{00000007-7A86-41A2-B03C-AE777C81B9D3}"/>
            </c:ext>
          </c:extLst>
        </c:ser>
        <c:ser>
          <c:idx val="8"/>
          <c:order val="8"/>
          <c:tx>
            <c:v>2005</c:v>
          </c:tx>
          <c:spPr>
            <a:solidFill>
              <a:srgbClr val="FFC000">
                <a:alpha val="67000"/>
              </a:srgbClr>
            </a:solidFill>
            <a:ln w="15875">
              <a:solidFill>
                <a:schemeClr val="tx1"/>
              </a:solidFill>
            </a:ln>
          </c:spPr>
          <c:invertIfNegative val="0"/>
          <c:xVal>
            <c:numRef>
              <c:f>Mars!$F$59:$F$65</c:f>
              <c:numCache>
                <c:formatCode>General</c:formatCode>
                <c:ptCount val="7"/>
                <c:pt idx="0">
                  <c:v>306</c:v>
                </c:pt>
                <c:pt idx="1">
                  <c:v>307</c:v>
                </c:pt>
                <c:pt idx="2">
                  <c:v>312</c:v>
                </c:pt>
                <c:pt idx="3">
                  <c:v>317</c:v>
                </c:pt>
                <c:pt idx="4">
                  <c:v>327</c:v>
                </c:pt>
                <c:pt idx="5">
                  <c:v>341</c:v>
                </c:pt>
                <c:pt idx="6">
                  <c:v>355</c:v>
                </c:pt>
              </c:numCache>
            </c:numRef>
          </c:xVal>
          <c:yVal>
            <c:numRef>
              <c:f>Mars!$G$59:$G$65</c:f>
              <c:numCache>
                <c:formatCode>0.0</c:formatCode>
                <c:ptCount val="7"/>
                <c:pt idx="0">
                  <c:v>19.399999999999999</c:v>
                </c:pt>
                <c:pt idx="1">
                  <c:v>19.399999999999999</c:v>
                </c:pt>
                <c:pt idx="2">
                  <c:v>20.100000000000001</c:v>
                </c:pt>
                <c:pt idx="3">
                  <c:v>20.100000000000001</c:v>
                </c:pt>
                <c:pt idx="4">
                  <c:v>18.579999999999998</c:v>
                </c:pt>
                <c:pt idx="5">
                  <c:v>14.6</c:v>
                </c:pt>
                <c:pt idx="6">
                  <c:v>10.7</c:v>
                </c:pt>
              </c:numCache>
            </c:numRef>
          </c:yVal>
          <c:bubbleSize>
            <c:numRef>
              <c:f>Mars!$Y$59:$Y$65</c:f>
              <c:numCache>
                <c:formatCode>0.000</c:formatCode>
                <c:ptCount val="7"/>
                <c:pt idx="0">
                  <c:v>0.58970313546571707</c:v>
                </c:pt>
                <c:pt idx="1">
                  <c:v>0.70635166675423489</c:v>
                </c:pt>
                <c:pt idx="2">
                  <c:v>0.88057387961569</c:v>
                </c:pt>
                <c:pt idx="3">
                  <c:v>0.71830110522047241</c:v>
                </c:pt>
                <c:pt idx="4">
                  <c:v>0.84569252922847116</c:v>
                </c:pt>
                <c:pt idx="5">
                  <c:v>0.66187798463079006</c:v>
                </c:pt>
                <c:pt idx="6">
                  <c:v>0.35157240715999555</c:v>
                </c:pt>
              </c:numCache>
            </c:numRef>
          </c:bubbleSize>
          <c:bubble3D val="0"/>
          <c:extLst>
            <c:ext xmlns:c16="http://schemas.microsoft.com/office/drawing/2014/chart" uri="{C3380CC4-5D6E-409C-BE32-E72D297353CC}">
              <c16:uniqueId val="{00000008-7A86-41A2-B03C-AE777C81B9D3}"/>
            </c:ext>
          </c:extLst>
        </c:ser>
        <c:ser>
          <c:idx val="9"/>
          <c:order val="9"/>
          <c:tx>
            <c:v>2007-08</c:v>
          </c:tx>
          <c:spPr>
            <a:solidFill>
              <a:srgbClr val="92D050">
                <a:alpha val="67000"/>
              </a:srgbClr>
            </a:solidFill>
            <a:ln w="15875">
              <a:solidFill>
                <a:schemeClr val="tx1"/>
              </a:solidFill>
            </a:ln>
          </c:spPr>
          <c:invertIfNegative val="0"/>
          <c:xVal>
            <c:numRef>
              <c:f>Mars!$F$66:$F$71</c:f>
              <c:numCache>
                <c:formatCode>General</c:formatCode>
                <c:ptCount val="6"/>
                <c:pt idx="0">
                  <c:v>354</c:v>
                </c:pt>
                <c:pt idx="1">
                  <c:v>7</c:v>
                </c:pt>
                <c:pt idx="2">
                  <c:v>33</c:v>
                </c:pt>
                <c:pt idx="3">
                  <c:v>34</c:v>
                </c:pt>
                <c:pt idx="4">
                  <c:v>34</c:v>
                </c:pt>
                <c:pt idx="5">
                  <c:v>59</c:v>
                </c:pt>
              </c:numCache>
            </c:numRef>
          </c:xVal>
          <c:yVal>
            <c:numRef>
              <c:f>Mars!$G$66:$G$71</c:f>
              <c:numCache>
                <c:formatCode>0.0</c:formatCode>
                <c:ptCount val="6"/>
                <c:pt idx="0">
                  <c:v>14.8</c:v>
                </c:pt>
                <c:pt idx="1">
                  <c:v>15.8</c:v>
                </c:pt>
                <c:pt idx="2">
                  <c:v>10.3</c:v>
                </c:pt>
                <c:pt idx="3">
                  <c:v>10</c:v>
                </c:pt>
                <c:pt idx="4">
                  <c:v>9.9</c:v>
                </c:pt>
                <c:pt idx="5" formatCode="General">
                  <c:v>6.3</c:v>
                </c:pt>
              </c:numCache>
            </c:numRef>
          </c:yVal>
          <c:bubbleSize>
            <c:numRef>
              <c:f>Mars!$Y$66:$Y$71</c:f>
              <c:numCache>
                <c:formatCode>0.000</c:formatCode>
                <c:ptCount val="6"/>
                <c:pt idx="0">
                  <c:v>0.49112611645683107</c:v>
                </c:pt>
                <c:pt idx="1">
                  <c:v>0.64156974574067294</c:v>
                </c:pt>
                <c:pt idx="2">
                  <c:v>0.3430317378053489</c:v>
                </c:pt>
                <c:pt idx="3">
                  <c:v>0.48523852953483748</c:v>
                </c:pt>
                <c:pt idx="4">
                  <c:v>0.48038614423948911</c:v>
                </c:pt>
                <c:pt idx="5">
                  <c:v>0.25664169188345465</c:v>
                </c:pt>
              </c:numCache>
            </c:numRef>
          </c:bubbleSize>
          <c:bubble3D val="0"/>
          <c:extLst>
            <c:ext xmlns:c16="http://schemas.microsoft.com/office/drawing/2014/chart" uri="{C3380CC4-5D6E-409C-BE32-E72D297353CC}">
              <c16:uniqueId val="{00000009-7A86-41A2-B03C-AE777C81B9D3}"/>
            </c:ext>
          </c:extLst>
        </c:ser>
        <c:ser>
          <c:idx val="10"/>
          <c:order val="10"/>
          <c:tx>
            <c:v>2010</c:v>
          </c:tx>
          <c:spPr>
            <a:solidFill>
              <a:srgbClr val="00B050">
                <a:alpha val="67000"/>
              </a:srgbClr>
            </a:solidFill>
            <a:ln w="15875">
              <a:solidFill>
                <a:schemeClr val="tx1"/>
              </a:solidFill>
            </a:ln>
          </c:spPr>
          <c:invertIfNegative val="0"/>
          <c:xVal>
            <c:numRef>
              <c:f>Mars!$F$72:$F$79</c:f>
              <c:numCache>
                <c:formatCode>General</c:formatCode>
                <c:ptCount val="8"/>
                <c:pt idx="0">
                  <c:v>37</c:v>
                </c:pt>
                <c:pt idx="1">
                  <c:v>45</c:v>
                </c:pt>
                <c:pt idx="2">
                  <c:v>45</c:v>
                </c:pt>
                <c:pt idx="3">
                  <c:v>50</c:v>
                </c:pt>
                <c:pt idx="4">
                  <c:v>59</c:v>
                </c:pt>
                <c:pt idx="5">
                  <c:v>65</c:v>
                </c:pt>
                <c:pt idx="6">
                  <c:v>82</c:v>
                </c:pt>
                <c:pt idx="7">
                  <c:v>119</c:v>
                </c:pt>
              </c:numCache>
            </c:numRef>
          </c:xVal>
          <c:yVal>
            <c:numRef>
              <c:f>Mars!$G$72:$G$79</c:f>
              <c:numCache>
                <c:formatCode>0.0</c:formatCode>
                <c:ptCount val="8"/>
                <c:pt idx="0">
                  <c:v>13.6</c:v>
                </c:pt>
                <c:pt idx="1">
                  <c:v>14.1</c:v>
                </c:pt>
                <c:pt idx="2">
                  <c:v>14.1</c:v>
                </c:pt>
                <c:pt idx="3">
                  <c:v>13.7</c:v>
                </c:pt>
                <c:pt idx="4">
                  <c:v>12</c:v>
                </c:pt>
                <c:pt idx="5">
                  <c:v>10.6</c:v>
                </c:pt>
                <c:pt idx="6">
                  <c:v>7.6</c:v>
                </c:pt>
                <c:pt idx="7">
                  <c:v>4.9000000000000004</c:v>
                </c:pt>
              </c:numCache>
            </c:numRef>
          </c:yVal>
          <c:bubbleSize>
            <c:numRef>
              <c:f>Mars!$Y$72:$Y$79</c:f>
              <c:numCache>
                <c:formatCode>0.000</c:formatCode>
                <c:ptCount val="8"/>
                <c:pt idx="0">
                  <c:v>0.38123505811710678</c:v>
                </c:pt>
                <c:pt idx="1">
                  <c:v>0.38503447814051717</c:v>
                </c:pt>
                <c:pt idx="2">
                  <c:v>0.55603451568100659</c:v>
                </c:pt>
                <c:pt idx="3">
                  <c:v>0.61062426700646688</c:v>
                </c:pt>
                <c:pt idx="4">
                  <c:v>0.57392014806589764</c:v>
                </c:pt>
                <c:pt idx="5">
                  <c:v>0.65543342787860781</c:v>
                </c:pt>
                <c:pt idx="6">
                  <c:v>0.33253008233673259</c:v>
                </c:pt>
                <c:pt idx="7">
                  <c:v>0.16700991142869448</c:v>
                </c:pt>
              </c:numCache>
            </c:numRef>
          </c:bubbleSize>
          <c:bubble3D val="0"/>
          <c:extLst>
            <c:ext xmlns:c16="http://schemas.microsoft.com/office/drawing/2014/chart" uri="{C3380CC4-5D6E-409C-BE32-E72D297353CC}">
              <c16:uniqueId val="{0000000A-7A86-41A2-B03C-AE777C81B9D3}"/>
            </c:ext>
          </c:extLst>
        </c:ser>
        <c:ser>
          <c:idx val="11"/>
          <c:order val="11"/>
          <c:tx>
            <c:v>2012</c:v>
          </c:tx>
          <c:spPr>
            <a:solidFill>
              <a:srgbClr val="00B0F0">
                <a:alpha val="63000"/>
              </a:srgbClr>
            </a:solidFill>
            <a:ln>
              <a:solidFill>
                <a:schemeClr val="tx1"/>
              </a:solidFill>
            </a:ln>
          </c:spPr>
          <c:invertIfNegative val="0"/>
          <c:xVal>
            <c:numRef>
              <c:f>Mars!$F$80:$F$85</c:f>
              <c:numCache>
                <c:formatCode>General</c:formatCode>
                <c:ptCount val="6"/>
                <c:pt idx="0" formatCode="0.0">
                  <c:v>80.569999999999993</c:v>
                </c:pt>
                <c:pt idx="1">
                  <c:v>81.069999999999993</c:v>
                </c:pt>
                <c:pt idx="2">
                  <c:v>81.099999999999994</c:v>
                </c:pt>
                <c:pt idx="3">
                  <c:v>89.38</c:v>
                </c:pt>
                <c:pt idx="4">
                  <c:v>93</c:v>
                </c:pt>
                <c:pt idx="5">
                  <c:v>108</c:v>
                </c:pt>
              </c:numCache>
            </c:numRef>
          </c:xVal>
          <c:yVal>
            <c:numRef>
              <c:f>Mars!$G$80:$G$85</c:f>
              <c:numCache>
                <c:formatCode>0.0</c:formatCode>
                <c:ptCount val="6"/>
                <c:pt idx="0">
                  <c:v>13.87</c:v>
                </c:pt>
                <c:pt idx="1">
                  <c:v>13.85</c:v>
                </c:pt>
                <c:pt idx="2">
                  <c:v>13.84</c:v>
                </c:pt>
                <c:pt idx="3">
                  <c:v>12.8</c:v>
                </c:pt>
                <c:pt idx="4">
                  <c:v>12.2</c:v>
                </c:pt>
                <c:pt idx="5">
                  <c:v>9.1999999999999993</c:v>
                </c:pt>
              </c:numCache>
            </c:numRef>
          </c:yVal>
          <c:bubbleSize>
            <c:numRef>
              <c:f>Mars!$Y$80:$Y$85</c:f>
              <c:numCache>
                <c:formatCode>0.000</c:formatCode>
                <c:ptCount val="6"/>
                <c:pt idx="0">
                  <c:v>0.27217313857477998</c:v>
                </c:pt>
                <c:pt idx="1">
                  <c:v>0.60558278646085917</c:v>
                </c:pt>
                <c:pt idx="2">
                  <c:v>0.76293684927425354</c:v>
                </c:pt>
                <c:pt idx="3">
                  <c:v>0.56331356507951269</c:v>
                </c:pt>
                <c:pt idx="4">
                  <c:v>0.53690824171641049</c:v>
                </c:pt>
                <c:pt idx="5">
                  <c:v>0.40488162490089974</c:v>
                </c:pt>
              </c:numCache>
            </c:numRef>
          </c:bubbleSize>
          <c:bubble3D val="0"/>
          <c:extLst>
            <c:ext xmlns:c16="http://schemas.microsoft.com/office/drawing/2014/chart" uri="{C3380CC4-5D6E-409C-BE32-E72D297353CC}">
              <c16:uniqueId val="{0000000B-7A86-41A2-B03C-AE777C81B9D3}"/>
            </c:ext>
          </c:extLst>
        </c:ser>
        <c:ser>
          <c:idx val="12"/>
          <c:order val="12"/>
          <c:tx>
            <c:v>2014</c:v>
          </c:tx>
          <c:spPr>
            <a:solidFill>
              <a:srgbClr val="0070C0">
                <a:alpha val="50000"/>
              </a:srgbClr>
            </a:solidFill>
            <a:ln>
              <a:solidFill>
                <a:schemeClr val="tx1"/>
              </a:solidFill>
            </a:ln>
          </c:spPr>
          <c:invertIfNegative val="0"/>
          <c:xVal>
            <c:numRef>
              <c:f>Mars!$F$86:$F$92</c:f>
              <c:numCache>
                <c:formatCode>General</c:formatCode>
                <c:ptCount val="7"/>
                <c:pt idx="0">
                  <c:v>133</c:v>
                </c:pt>
                <c:pt idx="1">
                  <c:v>137</c:v>
                </c:pt>
                <c:pt idx="2">
                  <c:v>138</c:v>
                </c:pt>
                <c:pt idx="3">
                  <c:v>140</c:v>
                </c:pt>
                <c:pt idx="4">
                  <c:v>144</c:v>
                </c:pt>
                <c:pt idx="5">
                  <c:v>153</c:v>
                </c:pt>
                <c:pt idx="6">
                  <c:v>158</c:v>
                </c:pt>
              </c:numCache>
            </c:numRef>
          </c:xVal>
          <c:yVal>
            <c:numRef>
              <c:f>Mars!$G$86:$G$92</c:f>
              <c:numCache>
                <c:formatCode>0.0</c:formatCode>
                <c:ptCount val="7"/>
                <c:pt idx="0">
                  <c:v>12.9</c:v>
                </c:pt>
                <c:pt idx="1">
                  <c:v>12.1</c:v>
                </c:pt>
                <c:pt idx="2">
                  <c:v>12.1</c:v>
                </c:pt>
                <c:pt idx="3">
                  <c:v>11.7</c:v>
                </c:pt>
                <c:pt idx="4">
                  <c:v>11</c:v>
                </c:pt>
                <c:pt idx="5">
                  <c:v>9.6</c:v>
                </c:pt>
                <c:pt idx="6">
                  <c:v>9.1</c:v>
                </c:pt>
              </c:numCache>
            </c:numRef>
          </c:yVal>
          <c:bubbleSize>
            <c:numRef>
              <c:f>Mars!$Y$86:$Y$92</c:f>
              <c:numCache>
                <c:formatCode>0.000</c:formatCode>
                <c:ptCount val="7"/>
                <c:pt idx="0">
                  <c:v>0.31484793249012105</c:v>
                </c:pt>
                <c:pt idx="1">
                  <c:v>0.54060636311614918</c:v>
                </c:pt>
                <c:pt idx="2">
                  <c:v>0.55095297626668371</c:v>
                </c:pt>
                <c:pt idx="3">
                  <c:v>7.0222045964395852E-2</c:v>
                </c:pt>
                <c:pt idx="4">
                  <c:v>0.44226799032922026</c:v>
                </c:pt>
                <c:pt idx="5">
                  <c:v>4.369185567551969E-2</c:v>
                </c:pt>
                <c:pt idx="6">
                  <c:v>6.2032252816372223E-2</c:v>
                </c:pt>
              </c:numCache>
            </c:numRef>
          </c:bubbleSize>
          <c:bubble3D val="0"/>
          <c:extLst>
            <c:ext xmlns:c16="http://schemas.microsoft.com/office/drawing/2014/chart" uri="{C3380CC4-5D6E-409C-BE32-E72D297353CC}">
              <c16:uniqueId val="{0000000C-7A86-41A2-B03C-AE777C81B9D3}"/>
            </c:ext>
          </c:extLst>
        </c:ser>
        <c:ser>
          <c:idx val="13"/>
          <c:order val="13"/>
          <c:tx>
            <c:v>2016</c:v>
          </c:tx>
          <c:spPr>
            <a:solidFill>
              <a:srgbClr val="7030A0">
                <a:alpha val="50000"/>
              </a:srgbClr>
            </a:solidFill>
            <a:ln>
              <a:solidFill>
                <a:prstClr val="black"/>
              </a:solidFill>
            </a:ln>
          </c:spPr>
          <c:invertIfNegative val="0"/>
          <c:xVal>
            <c:numRef>
              <c:f>Mars!$F$93:$F$100</c:f>
              <c:numCache>
                <c:formatCode>General</c:formatCode>
                <c:ptCount val="8"/>
                <c:pt idx="0">
                  <c:v>141</c:v>
                </c:pt>
                <c:pt idx="1">
                  <c:v>170</c:v>
                </c:pt>
                <c:pt idx="2">
                  <c:v>176</c:v>
                </c:pt>
                <c:pt idx="3">
                  <c:v>176</c:v>
                </c:pt>
                <c:pt idx="4">
                  <c:v>182</c:v>
                </c:pt>
                <c:pt idx="5">
                  <c:v>184</c:v>
                </c:pt>
                <c:pt idx="6">
                  <c:v>186</c:v>
                </c:pt>
                <c:pt idx="7">
                  <c:v>200</c:v>
                </c:pt>
              </c:numCache>
            </c:numRef>
          </c:xVal>
          <c:yVal>
            <c:numRef>
              <c:f>Mars!$G$93:$G$99</c:f>
              <c:numCache>
                <c:formatCode>0.0</c:formatCode>
                <c:ptCount val="7"/>
                <c:pt idx="0">
                  <c:v>14.8</c:v>
                </c:pt>
                <c:pt idx="1">
                  <c:v>17.899999999999999</c:v>
                </c:pt>
                <c:pt idx="2">
                  <c:v>16.8</c:v>
                </c:pt>
                <c:pt idx="3">
                  <c:v>16.8</c:v>
                </c:pt>
                <c:pt idx="4">
                  <c:v>15.6</c:v>
                </c:pt>
                <c:pt idx="5">
                  <c:v>15.2</c:v>
                </c:pt>
                <c:pt idx="6">
                  <c:v>14.7</c:v>
                </c:pt>
              </c:numCache>
            </c:numRef>
          </c:yVal>
          <c:bubbleSize>
            <c:numRef>
              <c:f>Mars!$Y$93:$Y$99</c:f>
              <c:numCache>
                <c:formatCode>0.000</c:formatCode>
                <c:ptCount val="7"/>
                <c:pt idx="0">
                  <c:v>0.60014585309362722</c:v>
                </c:pt>
                <c:pt idx="1">
                  <c:v>0.58068166326356363</c:v>
                </c:pt>
                <c:pt idx="2">
                  <c:v>0.54499731524178041</c:v>
                </c:pt>
                <c:pt idx="3">
                  <c:v>0.45808432849013336</c:v>
                </c:pt>
                <c:pt idx="4">
                  <c:v>0.36765239766916635</c:v>
                </c:pt>
                <c:pt idx="5">
                  <c:v>0.35822541311354672</c:v>
                </c:pt>
                <c:pt idx="6">
                  <c:v>0.34644168241902212</c:v>
                </c:pt>
              </c:numCache>
            </c:numRef>
          </c:bubbleSize>
          <c:bubble3D val="0"/>
          <c:extLst>
            <c:ext xmlns:c16="http://schemas.microsoft.com/office/drawing/2014/chart" uri="{C3380CC4-5D6E-409C-BE32-E72D297353CC}">
              <c16:uniqueId val="{0000000D-7A86-41A2-B03C-AE777C81B9D3}"/>
            </c:ext>
          </c:extLst>
        </c:ser>
        <c:ser>
          <c:idx val="14"/>
          <c:order val="14"/>
          <c:tx>
            <c:v>2018</c:v>
          </c:tx>
          <c:spPr>
            <a:ln>
              <a:solidFill>
                <a:sysClr val="windowText" lastClr="000000"/>
              </a:solidFill>
            </a:ln>
          </c:spPr>
          <c:invertIfNegative val="0"/>
          <c:xVal>
            <c:numRef>
              <c:f>Mars!$F$100:$F$113</c:f>
              <c:numCache>
                <c:formatCode>General</c:formatCode>
                <c:ptCount val="14"/>
                <c:pt idx="0">
                  <c:v>200</c:v>
                </c:pt>
                <c:pt idx="1">
                  <c:v>212</c:v>
                </c:pt>
                <c:pt idx="2">
                  <c:v>221</c:v>
                </c:pt>
                <c:pt idx="3">
                  <c:v>230</c:v>
                </c:pt>
                <c:pt idx="4">
                  <c:v>249</c:v>
                </c:pt>
                <c:pt idx="5">
                  <c:v>256</c:v>
                </c:pt>
                <c:pt idx="6">
                  <c:v>271</c:v>
                </c:pt>
                <c:pt idx="7">
                  <c:v>274</c:v>
                </c:pt>
                <c:pt idx="8">
                  <c:v>289</c:v>
                </c:pt>
                <c:pt idx="9">
                  <c:v>292</c:v>
                </c:pt>
                <c:pt idx="10">
                  <c:v>292</c:v>
                </c:pt>
                <c:pt idx="11">
                  <c:v>308</c:v>
                </c:pt>
                <c:pt idx="12">
                  <c:v>318</c:v>
                </c:pt>
                <c:pt idx="13">
                  <c:v>324</c:v>
                </c:pt>
              </c:numCache>
            </c:numRef>
          </c:xVal>
          <c:yVal>
            <c:numRef>
              <c:f>Mars!$G$100:$G$113</c:f>
              <c:numCache>
                <c:formatCode>0.0</c:formatCode>
                <c:ptCount val="14"/>
                <c:pt idx="0">
                  <c:v>20</c:v>
                </c:pt>
                <c:pt idx="1">
                  <c:v>23.2</c:v>
                </c:pt>
                <c:pt idx="2">
                  <c:v>24.3</c:v>
                </c:pt>
                <c:pt idx="3">
                  <c:v>23.5</c:v>
                </c:pt>
                <c:pt idx="4">
                  <c:v>18.7</c:v>
                </c:pt>
                <c:pt idx="5">
                  <c:v>17</c:v>
                </c:pt>
                <c:pt idx="6">
                  <c:v>13.6</c:v>
                </c:pt>
                <c:pt idx="7">
                  <c:v>13</c:v>
                </c:pt>
                <c:pt idx="8">
                  <c:v>10.5</c:v>
                </c:pt>
                <c:pt idx="9">
                  <c:v>10.1</c:v>
                </c:pt>
                <c:pt idx="10">
                  <c:v>10</c:v>
                </c:pt>
                <c:pt idx="11">
                  <c:v>8.1999999999999993</c:v>
                </c:pt>
                <c:pt idx="12">
                  <c:v>7.3</c:v>
                </c:pt>
                <c:pt idx="13">
                  <c:v>6.8</c:v>
                </c:pt>
              </c:numCache>
            </c:numRef>
          </c:yVal>
          <c:bubbleSize>
            <c:numRef>
              <c:f>Mars!$Y$100:$Y$113</c:f>
              <c:numCache>
                <c:formatCode>0.000</c:formatCode>
                <c:ptCount val="14"/>
                <c:pt idx="0">
                  <c:v>0.47134922778098259</c:v>
                </c:pt>
                <c:pt idx="1">
                  <c:v>0.43178726398063955</c:v>
                </c:pt>
                <c:pt idx="2">
                  <c:v>0.58483825236972842</c:v>
                </c:pt>
                <c:pt idx="3">
                  <c:v>0.23162582999789846</c:v>
                </c:pt>
                <c:pt idx="4">
                  <c:v>0.39716730954546492</c:v>
                </c:pt>
                <c:pt idx="5">
                  <c:v>0.62394312874592683</c:v>
                </c:pt>
                <c:pt idx="6">
                  <c:v>0.5686130728804778</c:v>
                </c:pt>
                <c:pt idx="7">
                  <c:v>0.4477912211469039</c:v>
                </c:pt>
                <c:pt idx="8">
                  <c:v>0.41238164409060246</c:v>
                </c:pt>
                <c:pt idx="9">
                  <c:v>0.36773978526895734</c:v>
                </c:pt>
                <c:pt idx="10">
                  <c:v>0.51407326306528878</c:v>
                </c:pt>
                <c:pt idx="11">
                  <c:v>0.3870563693364793</c:v>
                </c:pt>
                <c:pt idx="12">
                  <c:v>0.33853496836157887</c:v>
                </c:pt>
                <c:pt idx="13">
                  <c:v>0.30962646600111149</c:v>
                </c:pt>
              </c:numCache>
            </c:numRef>
          </c:bubbleSize>
          <c:bubble3D val="0"/>
          <c:extLst>
            <c:ext xmlns:c16="http://schemas.microsoft.com/office/drawing/2014/chart" uri="{C3380CC4-5D6E-409C-BE32-E72D297353CC}">
              <c16:uniqueId val="{00000000-AEB2-4DA9-AD31-C5009A4A3395}"/>
            </c:ext>
          </c:extLst>
        </c:ser>
        <c:dLbls>
          <c:showLegendKey val="0"/>
          <c:showVal val="0"/>
          <c:showCatName val="0"/>
          <c:showSerName val="0"/>
          <c:showPercent val="0"/>
          <c:showBubbleSize val="0"/>
        </c:dLbls>
        <c:bubbleScale val="15"/>
        <c:showNegBubbles val="0"/>
        <c:axId val="140654464"/>
        <c:axId val="140700672"/>
      </c:bubbleChart>
      <c:valAx>
        <c:axId val="140654464"/>
        <c:scaling>
          <c:orientation val="minMax"/>
          <c:max val="360"/>
          <c:min val="0"/>
        </c:scaling>
        <c:delete val="0"/>
        <c:axPos val="b"/>
        <c:majorGridlines/>
        <c:title>
          <c:tx>
            <c:rich>
              <a:bodyPr/>
              <a:lstStyle/>
              <a:p>
                <a:pPr>
                  <a:defRPr sz="1400" b="1" i="0" u="none" strike="noStrike" baseline="0">
                    <a:solidFill>
                      <a:srgbClr val="000000"/>
                    </a:solidFill>
                    <a:latin typeface="Calibri"/>
                    <a:ea typeface="Calibri"/>
                    <a:cs typeface="Calibri"/>
                  </a:defRPr>
                </a:pPr>
                <a:r>
                  <a:rPr lang="en-US"/>
                  <a:t>Solar Longitude of Mars (Ls, degrees)</a:t>
                </a:r>
              </a:p>
            </c:rich>
          </c:tx>
          <c:overlay val="0"/>
        </c:title>
        <c:numFmt formatCode="General" sourceLinked="1"/>
        <c:majorTickMark val="out"/>
        <c:minorTickMark val="none"/>
        <c:tickLblPos val="nextTo"/>
        <c:txPr>
          <a:bodyPr rot="0" vert="horz"/>
          <a:lstStyle/>
          <a:p>
            <a:pPr>
              <a:defRPr sz="1100" b="0" i="0" u="none" strike="noStrike" baseline="0">
                <a:solidFill>
                  <a:srgbClr val="000000"/>
                </a:solidFill>
                <a:latin typeface="Calibri"/>
                <a:ea typeface="Calibri"/>
                <a:cs typeface="Calibri"/>
              </a:defRPr>
            </a:pPr>
            <a:endParaRPr lang="en-US"/>
          </a:p>
        </c:txPr>
        <c:crossAx val="140700672"/>
        <c:crosses val="autoZero"/>
        <c:crossBetween val="midCat"/>
        <c:majorUnit val="30"/>
        <c:minorUnit val="5"/>
      </c:valAx>
      <c:valAx>
        <c:axId val="140700672"/>
        <c:scaling>
          <c:orientation val="minMax"/>
          <c:max val="30"/>
          <c:min val="0"/>
        </c:scaling>
        <c:delete val="0"/>
        <c:axPos val="l"/>
        <c:majorGridlines/>
        <c:title>
          <c:tx>
            <c:rich>
              <a:bodyPr/>
              <a:lstStyle/>
              <a:p>
                <a:pPr>
                  <a:defRPr sz="1400" b="1" i="0" u="none" strike="noStrike" baseline="0">
                    <a:solidFill>
                      <a:srgbClr val="000000"/>
                    </a:solidFill>
                    <a:latin typeface="Calibri"/>
                    <a:ea typeface="Calibri"/>
                    <a:cs typeface="Calibri"/>
                  </a:defRPr>
                </a:pPr>
                <a:r>
                  <a:rPr lang="en-US"/>
                  <a:t>Apparent Size of Mars (arcsec)</a:t>
                </a:r>
              </a:p>
            </c:rich>
          </c:tx>
          <c:overlay val="0"/>
        </c:title>
        <c:numFmt formatCode="0" sourceLinked="0"/>
        <c:majorTickMark val="out"/>
        <c:minorTickMark val="none"/>
        <c:tickLblPos val="nextTo"/>
        <c:txPr>
          <a:bodyPr rot="0" vert="horz"/>
          <a:lstStyle/>
          <a:p>
            <a:pPr>
              <a:defRPr sz="1100" b="0" i="0" u="none" strike="noStrike" baseline="0">
                <a:solidFill>
                  <a:srgbClr val="000000"/>
                </a:solidFill>
                <a:latin typeface="Calibri"/>
                <a:ea typeface="Calibri"/>
                <a:cs typeface="Calibri"/>
              </a:defRPr>
            </a:pPr>
            <a:endParaRPr lang="en-US"/>
          </a:p>
        </c:txPr>
        <c:crossAx val="140654464"/>
        <c:crosses val="autoZero"/>
        <c:crossBetween val="midCat"/>
        <c:majorUnit val="2"/>
      </c:valAx>
    </c:plotArea>
    <c:legend>
      <c:legendPos val="r"/>
      <c:layout>
        <c:manualLayout>
          <c:xMode val="edge"/>
          <c:yMode val="edge"/>
          <c:x val="0.90099009099633487"/>
          <c:y val="8.338156516474958E-2"/>
          <c:w val="6.1573445371090448E-2"/>
          <c:h val="0.4783679312813171"/>
        </c:manualLayout>
      </c:layout>
      <c:overlay val="0"/>
      <c:txPr>
        <a:bodyPr/>
        <a:lstStyle/>
        <a:p>
          <a:pPr>
            <a:defRPr sz="810" b="0" i="0" u="none" strike="noStrike" baseline="0">
              <a:solidFill>
                <a:srgbClr val="000000"/>
              </a:solidFill>
              <a:latin typeface="Calibri"/>
              <a:ea typeface="Calibri"/>
              <a:cs typeface="Calibri"/>
            </a:defRPr>
          </a:pPr>
          <a:endParaRPr lang="en-US"/>
        </a:p>
      </c:txPr>
    </c:legend>
    <c:plotVisOnly val="1"/>
    <c:dispBlanksAs val="gap"/>
    <c:showDLblsOverMax val="0"/>
  </c:chart>
  <c:spPr>
    <a:ln>
      <a:noFill/>
    </a:ln>
  </c:spPr>
  <c:txPr>
    <a:bodyPr/>
    <a:lstStyle/>
    <a:p>
      <a:pPr>
        <a:defRPr sz="1000" b="0" i="0" u="none" strike="noStrike" baseline="0">
          <a:solidFill>
            <a:srgbClr val="000000"/>
          </a:solidFill>
          <a:latin typeface="Calibri"/>
          <a:ea typeface="Calibri"/>
          <a:cs typeface="Calibri"/>
        </a:defRPr>
      </a:pPr>
      <a:endParaRPr lang="en-US"/>
    </a:p>
  </c:txPr>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000" b="1" i="0" u="none" strike="noStrike" baseline="0">
                <a:solidFill>
                  <a:srgbClr val="000000"/>
                </a:solidFill>
                <a:latin typeface="Calibri"/>
                <a:ea typeface="Calibri"/>
                <a:cs typeface="Calibri"/>
              </a:defRPr>
            </a:pPr>
            <a:r>
              <a:rPr lang="en-US"/>
              <a:t>Mars Seasonal Coverage</a:t>
            </a:r>
          </a:p>
        </c:rich>
      </c:tx>
      <c:overlay val="0"/>
    </c:title>
    <c:autoTitleDeleted val="0"/>
    <c:plotArea>
      <c:layout>
        <c:manualLayout>
          <c:layoutTarget val="inner"/>
          <c:xMode val="edge"/>
          <c:yMode val="edge"/>
          <c:x val="8.3608360836085874E-2"/>
          <c:y val="8.7878787878787459E-2"/>
          <c:w val="0.80748074807480752"/>
          <c:h val="0.78787878787878785"/>
        </c:manualLayout>
      </c:layout>
      <c:bubbleChart>
        <c:varyColors val="0"/>
        <c:ser>
          <c:idx val="7"/>
          <c:order val="0"/>
          <c:tx>
            <c:v>2003</c:v>
          </c:tx>
          <c:spPr>
            <a:solidFill>
              <a:srgbClr val="C00000">
                <a:alpha val="67000"/>
              </a:srgbClr>
            </a:solidFill>
            <a:ln w="15875">
              <a:solidFill>
                <a:schemeClr val="tx1"/>
              </a:solidFill>
            </a:ln>
          </c:spPr>
          <c:invertIfNegative val="0"/>
          <c:xVal>
            <c:numRef>
              <c:f>Mars!$F$58</c:f>
              <c:numCache>
                <c:formatCode>General</c:formatCode>
                <c:ptCount val="1"/>
                <c:pt idx="0">
                  <c:v>250</c:v>
                </c:pt>
              </c:numCache>
            </c:numRef>
          </c:xVal>
          <c:yVal>
            <c:numRef>
              <c:f>Mars!$E$58</c:f>
              <c:numCache>
                <c:formatCode>0.0</c:formatCode>
                <c:ptCount val="1"/>
                <c:pt idx="0">
                  <c:v>42.7</c:v>
                </c:pt>
              </c:numCache>
            </c:numRef>
          </c:yVal>
          <c:bubbleSize>
            <c:numRef>
              <c:f>Mars!$Y$58</c:f>
              <c:numCache>
                <c:formatCode>0.000</c:formatCode>
                <c:ptCount val="1"/>
                <c:pt idx="0">
                  <c:v>0.46061683916243434</c:v>
                </c:pt>
              </c:numCache>
            </c:numRef>
          </c:bubbleSize>
          <c:bubble3D val="0"/>
          <c:extLst>
            <c:ext xmlns:c16="http://schemas.microsoft.com/office/drawing/2014/chart" uri="{C3380CC4-5D6E-409C-BE32-E72D297353CC}">
              <c16:uniqueId val="{00000007-D858-4547-A652-ACED73EB588D}"/>
            </c:ext>
          </c:extLst>
        </c:ser>
        <c:ser>
          <c:idx val="8"/>
          <c:order val="1"/>
          <c:tx>
            <c:v>2005</c:v>
          </c:tx>
          <c:spPr>
            <a:solidFill>
              <a:srgbClr val="FFC000">
                <a:alpha val="67000"/>
              </a:srgbClr>
            </a:solidFill>
            <a:ln w="15875">
              <a:solidFill>
                <a:schemeClr val="tx1"/>
              </a:solidFill>
            </a:ln>
          </c:spPr>
          <c:invertIfNegative val="0"/>
          <c:xVal>
            <c:numRef>
              <c:f>Mars!$F$59:$F$65</c:f>
              <c:numCache>
                <c:formatCode>General</c:formatCode>
                <c:ptCount val="7"/>
                <c:pt idx="0">
                  <c:v>306</c:v>
                </c:pt>
                <c:pt idx="1">
                  <c:v>307</c:v>
                </c:pt>
                <c:pt idx="2">
                  <c:v>312</c:v>
                </c:pt>
                <c:pt idx="3">
                  <c:v>317</c:v>
                </c:pt>
                <c:pt idx="4">
                  <c:v>327</c:v>
                </c:pt>
                <c:pt idx="5">
                  <c:v>341</c:v>
                </c:pt>
                <c:pt idx="6">
                  <c:v>355</c:v>
                </c:pt>
              </c:numCache>
            </c:numRef>
          </c:xVal>
          <c:yVal>
            <c:numRef>
              <c:f>Mars!$E$59:$E$65</c:f>
              <c:numCache>
                <c:formatCode>0.0</c:formatCode>
                <c:ptCount val="7"/>
                <c:pt idx="0">
                  <c:v>56.5</c:v>
                </c:pt>
                <c:pt idx="1">
                  <c:v>63.5</c:v>
                </c:pt>
                <c:pt idx="2">
                  <c:v>343.1</c:v>
                </c:pt>
                <c:pt idx="3">
                  <c:v>278.39999999999998</c:v>
                </c:pt>
                <c:pt idx="4">
                  <c:v>116.7</c:v>
                </c:pt>
                <c:pt idx="5">
                  <c:v>224.6</c:v>
                </c:pt>
                <c:pt idx="6">
                  <c:v>352.8</c:v>
                </c:pt>
              </c:numCache>
            </c:numRef>
          </c:yVal>
          <c:bubbleSize>
            <c:numRef>
              <c:f>Mars!$Y$59:$Y$65</c:f>
              <c:numCache>
                <c:formatCode>0.000</c:formatCode>
                <c:ptCount val="7"/>
                <c:pt idx="0">
                  <c:v>0.58970313546571707</c:v>
                </c:pt>
                <c:pt idx="1">
                  <c:v>0.70635166675423489</c:v>
                </c:pt>
                <c:pt idx="2">
                  <c:v>0.88057387961569</c:v>
                </c:pt>
                <c:pt idx="3">
                  <c:v>0.71830110522047241</c:v>
                </c:pt>
                <c:pt idx="4">
                  <c:v>0.84569252922847116</c:v>
                </c:pt>
                <c:pt idx="5">
                  <c:v>0.66187798463079006</c:v>
                </c:pt>
                <c:pt idx="6">
                  <c:v>0.35157240715999555</c:v>
                </c:pt>
              </c:numCache>
            </c:numRef>
          </c:bubbleSize>
          <c:bubble3D val="0"/>
          <c:extLst>
            <c:ext xmlns:c16="http://schemas.microsoft.com/office/drawing/2014/chart" uri="{C3380CC4-5D6E-409C-BE32-E72D297353CC}">
              <c16:uniqueId val="{00000008-D858-4547-A652-ACED73EB588D}"/>
            </c:ext>
          </c:extLst>
        </c:ser>
        <c:ser>
          <c:idx val="9"/>
          <c:order val="2"/>
          <c:tx>
            <c:v>2007-08</c:v>
          </c:tx>
          <c:spPr>
            <a:solidFill>
              <a:srgbClr val="92D050">
                <a:alpha val="67000"/>
              </a:srgbClr>
            </a:solidFill>
            <a:ln w="15875">
              <a:solidFill>
                <a:schemeClr val="tx1"/>
              </a:solidFill>
            </a:ln>
          </c:spPr>
          <c:invertIfNegative val="0"/>
          <c:xVal>
            <c:numRef>
              <c:f>Mars!$F$66:$F$71</c:f>
              <c:numCache>
                <c:formatCode>General</c:formatCode>
                <c:ptCount val="6"/>
                <c:pt idx="0">
                  <c:v>354</c:v>
                </c:pt>
                <c:pt idx="1">
                  <c:v>7</c:v>
                </c:pt>
                <c:pt idx="2">
                  <c:v>33</c:v>
                </c:pt>
                <c:pt idx="3">
                  <c:v>34</c:v>
                </c:pt>
                <c:pt idx="4">
                  <c:v>34</c:v>
                </c:pt>
                <c:pt idx="5">
                  <c:v>59</c:v>
                </c:pt>
              </c:numCache>
            </c:numRef>
          </c:xVal>
          <c:yVal>
            <c:numRef>
              <c:f>Mars!$E$66:$E$71</c:f>
              <c:numCache>
                <c:formatCode>0.0</c:formatCode>
                <c:ptCount val="6"/>
                <c:pt idx="0">
                  <c:v>187.6</c:v>
                </c:pt>
                <c:pt idx="1">
                  <c:v>332.6</c:v>
                </c:pt>
                <c:pt idx="2">
                  <c:v>187</c:v>
                </c:pt>
                <c:pt idx="3">
                  <c:v>102.2</c:v>
                </c:pt>
                <c:pt idx="4">
                  <c:v>142.1</c:v>
                </c:pt>
                <c:pt idx="5">
                  <c:v>313.39999999999998</c:v>
                </c:pt>
              </c:numCache>
            </c:numRef>
          </c:yVal>
          <c:bubbleSize>
            <c:numRef>
              <c:f>Mars!$Y$66:$Y$71</c:f>
              <c:numCache>
                <c:formatCode>0.000</c:formatCode>
                <c:ptCount val="6"/>
                <c:pt idx="0">
                  <c:v>0.49112611645683107</c:v>
                </c:pt>
                <c:pt idx="1">
                  <c:v>0.64156974574067294</c:v>
                </c:pt>
                <c:pt idx="2">
                  <c:v>0.3430317378053489</c:v>
                </c:pt>
                <c:pt idx="3">
                  <c:v>0.48523852953483748</c:v>
                </c:pt>
                <c:pt idx="4">
                  <c:v>0.48038614423948911</c:v>
                </c:pt>
                <c:pt idx="5">
                  <c:v>0.25664169188345465</c:v>
                </c:pt>
              </c:numCache>
            </c:numRef>
          </c:bubbleSize>
          <c:bubble3D val="0"/>
          <c:extLst>
            <c:ext xmlns:c16="http://schemas.microsoft.com/office/drawing/2014/chart" uri="{C3380CC4-5D6E-409C-BE32-E72D297353CC}">
              <c16:uniqueId val="{00000009-D858-4547-A652-ACED73EB588D}"/>
            </c:ext>
          </c:extLst>
        </c:ser>
        <c:ser>
          <c:idx val="10"/>
          <c:order val="3"/>
          <c:tx>
            <c:v>2010</c:v>
          </c:tx>
          <c:spPr>
            <a:solidFill>
              <a:srgbClr val="00B050">
                <a:alpha val="67000"/>
              </a:srgbClr>
            </a:solidFill>
            <a:ln w="15875">
              <a:solidFill>
                <a:schemeClr val="tx1"/>
              </a:solidFill>
            </a:ln>
          </c:spPr>
          <c:invertIfNegative val="0"/>
          <c:xVal>
            <c:numRef>
              <c:f>Mars!$F$72:$F$79</c:f>
              <c:numCache>
                <c:formatCode>General</c:formatCode>
                <c:ptCount val="8"/>
                <c:pt idx="0">
                  <c:v>37</c:v>
                </c:pt>
                <c:pt idx="1">
                  <c:v>45</c:v>
                </c:pt>
                <c:pt idx="2">
                  <c:v>45</c:v>
                </c:pt>
                <c:pt idx="3">
                  <c:v>50</c:v>
                </c:pt>
                <c:pt idx="4">
                  <c:v>59</c:v>
                </c:pt>
                <c:pt idx="5">
                  <c:v>65</c:v>
                </c:pt>
                <c:pt idx="6">
                  <c:v>82</c:v>
                </c:pt>
                <c:pt idx="7">
                  <c:v>119</c:v>
                </c:pt>
              </c:numCache>
            </c:numRef>
          </c:xVal>
          <c:yVal>
            <c:numRef>
              <c:f>Mars!$E$72:$E$79</c:f>
              <c:numCache>
                <c:formatCode>0.0</c:formatCode>
                <c:ptCount val="8"/>
                <c:pt idx="0">
                  <c:v>266.89999999999998</c:v>
                </c:pt>
                <c:pt idx="1">
                  <c:v>72.7</c:v>
                </c:pt>
                <c:pt idx="2">
                  <c:v>96.6</c:v>
                </c:pt>
                <c:pt idx="3">
                  <c:v>10.7</c:v>
                </c:pt>
                <c:pt idx="4">
                  <c:v>188.4</c:v>
                </c:pt>
                <c:pt idx="5">
                  <c:v>67.7</c:v>
                </c:pt>
                <c:pt idx="6">
                  <c:v>32.4</c:v>
                </c:pt>
                <c:pt idx="7">
                  <c:v>305.60000000000002</c:v>
                </c:pt>
              </c:numCache>
            </c:numRef>
          </c:yVal>
          <c:bubbleSize>
            <c:numRef>
              <c:f>Mars!$Y$72:$Y$79</c:f>
              <c:numCache>
                <c:formatCode>0.000</c:formatCode>
                <c:ptCount val="8"/>
                <c:pt idx="0">
                  <c:v>0.38123505811710678</c:v>
                </c:pt>
                <c:pt idx="1">
                  <c:v>0.38503447814051717</c:v>
                </c:pt>
                <c:pt idx="2">
                  <c:v>0.55603451568100659</c:v>
                </c:pt>
                <c:pt idx="3">
                  <c:v>0.61062426700646688</c:v>
                </c:pt>
                <c:pt idx="4">
                  <c:v>0.57392014806589764</c:v>
                </c:pt>
                <c:pt idx="5">
                  <c:v>0.65543342787860781</c:v>
                </c:pt>
                <c:pt idx="6">
                  <c:v>0.33253008233673259</c:v>
                </c:pt>
                <c:pt idx="7">
                  <c:v>0.16700991142869448</c:v>
                </c:pt>
              </c:numCache>
            </c:numRef>
          </c:bubbleSize>
          <c:bubble3D val="0"/>
          <c:extLst>
            <c:ext xmlns:c16="http://schemas.microsoft.com/office/drawing/2014/chart" uri="{C3380CC4-5D6E-409C-BE32-E72D297353CC}">
              <c16:uniqueId val="{0000000A-D858-4547-A652-ACED73EB588D}"/>
            </c:ext>
          </c:extLst>
        </c:ser>
        <c:ser>
          <c:idx val="11"/>
          <c:order val="4"/>
          <c:tx>
            <c:v>2012</c:v>
          </c:tx>
          <c:spPr>
            <a:solidFill>
              <a:srgbClr val="00B0F0">
                <a:alpha val="63000"/>
              </a:srgbClr>
            </a:solidFill>
            <a:ln>
              <a:solidFill>
                <a:schemeClr val="tx1"/>
              </a:solidFill>
            </a:ln>
          </c:spPr>
          <c:invertIfNegative val="0"/>
          <c:xVal>
            <c:numRef>
              <c:f>Mars!$F$80:$F$85</c:f>
              <c:numCache>
                <c:formatCode>General</c:formatCode>
                <c:ptCount val="6"/>
                <c:pt idx="0" formatCode="0.0">
                  <c:v>80.569999999999993</c:v>
                </c:pt>
                <c:pt idx="1">
                  <c:v>81.069999999999993</c:v>
                </c:pt>
                <c:pt idx="2">
                  <c:v>81.099999999999994</c:v>
                </c:pt>
                <c:pt idx="3">
                  <c:v>89.38</c:v>
                </c:pt>
                <c:pt idx="4">
                  <c:v>93</c:v>
                </c:pt>
                <c:pt idx="5">
                  <c:v>108</c:v>
                </c:pt>
              </c:numCache>
            </c:numRef>
          </c:xVal>
          <c:yVal>
            <c:numRef>
              <c:f>Mars!$E$80:$E$85</c:f>
              <c:numCache>
                <c:formatCode>0.0</c:formatCode>
                <c:ptCount val="6"/>
                <c:pt idx="0">
                  <c:v>251.3</c:v>
                </c:pt>
                <c:pt idx="1">
                  <c:v>287.5</c:v>
                </c:pt>
                <c:pt idx="2">
                  <c:v>312.14</c:v>
                </c:pt>
                <c:pt idx="3">
                  <c:v>92.31</c:v>
                </c:pt>
                <c:pt idx="4">
                  <c:v>92.31</c:v>
                </c:pt>
                <c:pt idx="5">
                  <c:v>92.31</c:v>
                </c:pt>
              </c:numCache>
            </c:numRef>
          </c:yVal>
          <c:bubbleSize>
            <c:numRef>
              <c:f>Mars!$Y$80:$Y$85</c:f>
              <c:numCache>
                <c:formatCode>0.000</c:formatCode>
                <c:ptCount val="6"/>
                <c:pt idx="0">
                  <c:v>0.27217313857477998</c:v>
                </c:pt>
                <c:pt idx="1">
                  <c:v>0.60558278646085917</c:v>
                </c:pt>
                <c:pt idx="2">
                  <c:v>0.76293684927425354</c:v>
                </c:pt>
                <c:pt idx="3">
                  <c:v>0.56331356507951269</c:v>
                </c:pt>
                <c:pt idx="4">
                  <c:v>0.53690824171641049</c:v>
                </c:pt>
                <c:pt idx="5">
                  <c:v>0.40488162490089974</c:v>
                </c:pt>
              </c:numCache>
            </c:numRef>
          </c:bubbleSize>
          <c:bubble3D val="0"/>
          <c:extLst>
            <c:ext xmlns:c16="http://schemas.microsoft.com/office/drawing/2014/chart" uri="{C3380CC4-5D6E-409C-BE32-E72D297353CC}">
              <c16:uniqueId val="{0000000B-D858-4547-A652-ACED73EB588D}"/>
            </c:ext>
          </c:extLst>
        </c:ser>
        <c:ser>
          <c:idx val="12"/>
          <c:order val="5"/>
          <c:tx>
            <c:v>2014</c:v>
          </c:tx>
          <c:spPr>
            <a:solidFill>
              <a:srgbClr val="0070C0">
                <a:alpha val="50000"/>
              </a:srgbClr>
            </a:solidFill>
            <a:ln>
              <a:solidFill>
                <a:schemeClr val="tx1"/>
              </a:solidFill>
            </a:ln>
          </c:spPr>
          <c:invertIfNegative val="0"/>
          <c:xVal>
            <c:numRef>
              <c:f>Mars!$F$86:$F$92</c:f>
              <c:numCache>
                <c:formatCode>General</c:formatCode>
                <c:ptCount val="7"/>
                <c:pt idx="0">
                  <c:v>133</c:v>
                </c:pt>
                <c:pt idx="1">
                  <c:v>137</c:v>
                </c:pt>
                <c:pt idx="2">
                  <c:v>138</c:v>
                </c:pt>
                <c:pt idx="3">
                  <c:v>140</c:v>
                </c:pt>
                <c:pt idx="4">
                  <c:v>144</c:v>
                </c:pt>
                <c:pt idx="5">
                  <c:v>153</c:v>
                </c:pt>
                <c:pt idx="6">
                  <c:v>158</c:v>
                </c:pt>
              </c:numCache>
            </c:numRef>
          </c:xVal>
          <c:yVal>
            <c:numRef>
              <c:f>Mars!$E$86:$E$92</c:f>
              <c:numCache>
                <c:formatCode>0.0</c:formatCode>
                <c:ptCount val="7"/>
                <c:pt idx="0">
                  <c:v>122.2</c:v>
                </c:pt>
                <c:pt idx="1">
                  <c:v>61.9</c:v>
                </c:pt>
                <c:pt idx="2">
                  <c:v>50.2</c:v>
                </c:pt>
                <c:pt idx="3">
                  <c:v>358.5</c:v>
                </c:pt>
                <c:pt idx="4">
                  <c:v>298.39999999999998</c:v>
                </c:pt>
                <c:pt idx="5">
                  <c:v>108.8</c:v>
                </c:pt>
                <c:pt idx="6">
                  <c:v>42</c:v>
                </c:pt>
              </c:numCache>
            </c:numRef>
          </c:yVal>
          <c:bubbleSize>
            <c:numRef>
              <c:f>Mars!$Y$86:$Y$92</c:f>
              <c:numCache>
                <c:formatCode>0.000</c:formatCode>
                <c:ptCount val="7"/>
                <c:pt idx="0">
                  <c:v>0.31484793249012105</c:v>
                </c:pt>
                <c:pt idx="1">
                  <c:v>0.54060636311614918</c:v>
                </c:pt>
                <c:pt idx="2">
                  <c:v>0.55095297626668371</c:v>
                </c:pt>
                <c:pt idx="3">
                  <c:v>7.0222045964395852E-2</c:v>
                </c:pt>
                <c:pt idx="4">
                  <c:v>0.44226799032922026</c:v>
                </c:pt>
                <c:pt idx="5">
                  <c:v>4.369185567551969E-2</c:v>
                </c:pt>
                <c:pt idx="6">
                  <c:v>6.2032252816372223E-2</c:v>
                </c:pt>
              </c:numCache>
            </c:numRef>
          </c:bubbleSize>
          <c:bubble3D val="0"/>
          <c:extLst>
            <c:ext xmlns:c16="http://schemas.microsoft.com/office/drawing/2014/chart" uri="{C3380CC4-5D6E-409C-BE32-E72D297353CC}">
              <c16:uniqueId val="{0000000C-D858-4547-A652-ACED73EB588D}"/>
            </c:ext>
          </c:extLst>
        </c:ser>
        <c:ser>
          <c:idx val="13"/>
          <c:order val="6"/>
          <c:tx>
            <c:v>2016</c:v>
          </c:tx>
          <c:spPr>
            <a:solidFill>
              <a:srgbClr val="7030A0">
                <a:alpha val="50000"/>
              </a:srgbClr>
            </a:solidFill>
            <a:ln>
              <a:solidFill>
                <a:prstClr val="black"/>
              </a:solidFill>
            </a:ln>
          </c:spPr>
          <c:invertIfNegative val="0"/>
          <c:xVal>
            <c:numRef>
              <c:f>Mars!$F$93:$F$100</c:f>
              <c:numCache>
                <c:formatCode>General</c:formatCode>
                <c:ptCount val="8"/>
                <c:pt idx="0">
                  <c:v>141</c:v>
                </c:pt>
                <c:pt idx="1">
                  <c:v>170</c:v>
                </c:pt>
                <c:pt idx="2">
                  <c:v>176</c:v>
                </c:pt>
                <c:pt idx="3">
                  <c:v>176</c:v>
                </c:pt>
                <c:pt idx="4">
                  <c:v>182</c:v>
                </c:pt>
                <c:pt idx="5">
                  <c:v>184</c:v>
                </c:pt>
                <c:pt idx="6">
                  <c:v>186</c:v>
                </c:pt>
                <c:pt idx="7">
                  <c:v>200</c:v>
                </c:pt>
              </c:numCache>
            </c:numRef>
          </c:xVal>
          <c:yVal>
            <c:numRef>
              <c:f>Mars!$E$93:$E$99</c:f>
              <c:numCache>
                <c:formatCode>0.0</c:formatCode>
                <c:ptCount val="7"/>
                <c:pt idx="0">
                  <c:v>227.5</c:v>
                </c:pt>
                <c:pt idx="1">
                  <c:v>21.7</c:v>
                </c:pt>
                <c:pt idx="2">
                  <c:v>268.39999999999998</c:v>
                </c:pt>
                <c:pt idx="3">
                  <c:v>302.5</c:v>
                </c:pt>
                <c:pt idx="4">
                  <c:v>188</c:v>
                </c:pt>
                <c:pt idx="5">
                  <c:v>141.9</c:v>
                </c:pt>
                <c:pt idx="6">
                  <c:v>100</c:v>
                </c:pt>
              </c:numCache>
            </c:numRef>
          </c:yVal>
          <c:bubbleSize>
            <c:numRef>
              <c:f>Mars!$Y$93:$Y$99</c:f>
              <c:numCache>
                <c:formatCode>0.000</c:formatCode>
                <c:ptCount val="7"/>
                <c:pt idx="0">
                  <c:v>0.60014585309362722</c:v>
                </c:pt>
                <c:pt idx="1">
                  <c:v>0.58068166326356363</c:v>
                </c:pt>
                <c:pt idx="2">
                  <c:v>0.54499731524178041</c:v>
                </c:pt>
                <c:pt idx="3">
                  <c:v>0.45808432849013336</c:v>
                </c:pt>
                <c:pt idx="4">
                  <c:v>0.36765239766916635</c:v>
                </c:pt>
                <c:pt idx="5">
                  <c:v>0.35822541311354672</c:v>
                </c:pt>
                <c:pt idx="6">
                  <c:v>0.34644168241902212</c:v>
                </c:pt>
              </c:numCache>
            </c:numRef>
          </c:bubbleSize>
          <c:bubble3D val="0"/>
          <c:extLst>
            <c:ext xmlns:c16="http://schemas.microsoft.com/office/drawing/2014/chart" uri="{C3380CC4-5D6E-409C-BE32-E72D297353CC}">
              <c16:uniqueId val="{0000000D-D858-4547-A652-ACED73EB588D}"/>
            </c:ext>
          </c:extLst>
        </c:ser>
        <c:ser>
          <c:idx val="14"/>
          <c:order val="7"/>
          <c:tx>
            <c:v>2018</c:v>
          </c:tx>
          <c:spPr>
            <a:ln>
              <a:solidFill>
                <a:sysClr val="windowText" lastClr="000000"/>
              </a:solidFill>
            </a:ln>
          </c:spPr>
          <c:invertIfNegative val="0"/>
          <c:xVal>
            <c:numRef>
              <c:f>Mars!$F$100:$F$113</c:f>
              <c:numCache>
                <c:formatCode>General</c:formatCode>
                <c:ptCount val="14"/>
                <c:pt idx="0">
                  <c:v>200</c:v>
                </c:pt>
                <c:pt idx="1">
                  <c:v>212</c:v>
                </c:pt>
                <c:pt idx="2">
                  <c:v>221</c:v>
                </c:pt>
                <c:pt idx="3">
                  <c:v>230</c:v>
                </c:pt>
                <c:pt idx="4">
                  <c:v>249</c:v>
                </c:pt>
                <c:pt idx="5">
                  <c:v>256</c:v>
                </c:pt>
                <c:pt idx="6">
                  <c:v>271</c:v>
                </c:pt>
                <c:pt idx="7">
                  <c:v>274</c:v>
                </c:pt>
                <c:pt idx="8">
                  <c:v>289</c:v>
                </c:pt>
                <c:pt idx="9">
                  <c:v>292</c:v>
                </c:pt>
                <c:pt idx="10">
                  <c:v>292</c:v>
                </c:pt>
                <c:pt idx="11">
                  <c:v>308</c:v>
                </c:pt>
                <c:pt idx="12">
                  <c:v>318</c:v>
                </c:pt>
                <c:pt idx="13">
                  <c:v>324</c:v>
                </c:pt>
              </c:numCache>
            </c:numRef>
          </c:xVal>
          <c:yVal>
            <c:numRef>
              <c:f>Mars!$E$100:$E$113</c:f>
              <c:numCache>
                <c:formatCode>0.0</c:formatCode>
                <c:ptCount val="14"/>
                <c:pt idx="0">
                  <c:v>132</c:v>
                </c:pt>
                <c:pt idx="1">
                  <c:v>257.5</c:v>
                </c:pt>
                <c:pt idx="2">
                  <c:v>120</c:v>
                </c:pt>
                <c:pt idx="3">
                  <c:v>320.10000000000002</c:v>
                </c:pt>
                <c:pt idx="4">
                  <c:v>52.8</c:v>
                </c:pt>
                <c:pt idx="5">
                  <c:v>314.60000000000002</c:v>
                </c:pt>
                <c:pt idx="6">
                  <c:v>64.7</c:v>
                </c:pt>
                <c:pt idx="7">
                  <c:v>15</c:v>
                </c:pt>
                <c:pt idx="8">
                  <c:v>146.19999999999999</c:v>
                </c:pt>
                <c:pt idx="9">
                  <c:v>108.7</c:v>
                </c:pt>
                <c:pt idx="10">
                  <c:v>66.3</c:v>
                </c:pt>
                <c:pt idx="11">
                  <c:v>164.4</c:v>
                </c:pt>
                <c:pt idx="12">
                  <c:v>9.9</c:v>
                </c:pt>
                <c:pt idx="13">
                  <c:v>274.10000000000002</c:v>
                </c:pt>
              </c:numCache>
            </c:numRef>
          </c:yVal>
          <c:bubbleSize>
            <c:numRef>
              <c:f>Mars!$Y$100:$Y$113</c:f>
              <c:numCache>
                <c:formatCode>0.000</c:formatCode>
                <c:ptCount val="14"/>
                <c:pt idx="0">
                  <c:v>0.47134922778098259</c:v>
                </c:pt>
                <c:pt idx="1">
                  <c:v>0.43178726398063955</c:v>
                </c:pt>
                <c:pt idx="2">
                  <c:v>0.58483825236972842</c:v>
                </c:pt>
                <c:pt idx="3">
                  <c:v>0.23162582999789846</c:v>
                </c:pt>
                <c:pt idx="4">
                  <c:v>0.39716730954546492</c:v>
                </c:pt>
                <c:pt idx="5">
                  <c:v>0.62394312874592683</c:v>
                </c:pt>
                <c:pt idx="6">
                  <c:v>0.5686130728804778</c:v>
                </c:pt>
                <c:pt idx="7">
                  <c:v>0.4477912211469039</c:v>
                </c:pt>
                <c:pt idx="8">
                  <c:v>0.41238164409060246</c:v>
                </c:pt>
                <c:pt idx="9">
                  <c:v>0.36773978526895734</c:v>
                </c:pt>
                <c:pt idx="10">
                  <c:v>0.51407326306528878</c:v>
                </c:pt>
                <c:pt idx="11">
                  <c:v>0.3870563693364793</c:v>
                </c:pt>
                <c:pt idx="12">
                  <c:v>0.33853496836157887</c:v>
                </c:pt>
                <c:pt idx="13">
                  <c:v>0.30962646600111149</c:v>
                </c:pt>
              </c:numCache>
            </c:numRef>
          </c:bubbleSize>
          <c:bubble3D val="0"/>
          <c:extLst>
            <c:ext xmlns:c16="http://schemas.microsoft.com/office/drawing/2014/chart" uri="{C3380CC4-5D6E-409C-BE32-E72D297353CC}">
              <c16:uniqueId val="{0000000E-D858-4547-A652-ACED73EB588D}"/>
            </c:ext>
          </c:extLst>
        </c:ser>
        <c:dLbls>
          <c:showLegendKey val="0"/>
          <c:showVal val="0"/>
          <c:showCatName val="0"/>
          <c:showSerName val="0"/>
          <c:showPercent val="0"/>
          <c:showBubbleSize val="0"/>
        </c:dLbls>
        <c:bubbleScale val="15"/>
        <c:showNegBubbles val="0"/>
        <c:axId val="140654464"/>
        <c:axId val="140700672"/>
      </c:bubbleChart>
      <c:valAx>
        <c:axId val="140654464"/>
        <c:scaling>
          <c:orientation val="minMax"/>
          <c:max val="360"/>
          <c:min val="0"/>
        </c:scaling>
        <c:delete val="0"/>
        <c:axPos val="b"/>
        <c:majorGridlines/>
        <c:title>
          <c:tx>
            <c:rich>
              <a:bodyPr/>
              <a:lstStyle/>
              <a:p>
                <a:pPr>
                  <a:defRPr sz="1400" b="1" i="0" u="none" strike="noStrike" baseline="0">
                    <a:solidFill>
                      <a:srgbClr val="000000"/>
                    </a:solidFill>
                    <a:latin typeface="Calibri"/>
                    <a:ea typeface="Calibri"/>
                    <a:cs typeface="Calibri"/>
                  </a:defRPr>
                </a:pPr>
                <a:r>
                  <a:rPr lang="en-US"/>
                  <a:t>Solar Longitude of Mars (Ls, degrees)</a:t>
                </a:r>
              </a:p>
            </c:rich>
          </c:tx>
          <c:overlay val="0"/>
        </c:title>
        <c:numFmt formatCode="General" sourceLinked="1"/>
        <c:majorTickMark val="out"/>
        <c:minorTickMark val="none"/>
        <c:tickLblPos val="nextTo"/>
        <c:txPr>
          <a:bodyPr rot="0" vert="horz"/>
          <a:lstStyle/>
          <a:p>
            <a:pPr>
              <a:defRPr sz="1100" b="0" i="0" u="none" strike="noStrike" baseline="0">
                <a:solidFill>
                  <a:srgbClr val="000000"/>
                </a:solidFill>
                <a:latin typeface="Calibri"/>
                <a:ea typeface="Calibri"/>
                <a:cs typeface="Calibri"/>
              </a:defRPr>
            </a:pPr>
            <a:endParaRPr lang="en-US"/>
          </a:p>
        </c:txPr>
        <c:crossAx val="140700672"/>
        <c:crosses val="autoZero"/>
        <c:crossBetween val="midCat"/>
        <c:majorUnit val="30"/>
        <c:minorUnit val="5"/>
      </c:valAx>
      <c:valAx>
        <c:axId val="140700672"/>
        <c:scaling>
          <c:orientation val="minMax"/>
          <c:max val="390"/>
          <c:min val="-30"/>
        </c:scaling>
        <c:delete val="0"/>
        <c:axPos val="l"/>
        <c:majorGridlines/>
        <c:title>
          <c:tx>
            <c:rich>
              <a:bodyPr/>
              <a:lstStyle/>
              <a:p>
                <a:pPr>
                  <a:defRPr sz="1400" b="1" i="0" u="none" strike="noStrike" baseline="0">
                    <a:solidFill>
                      <a:srgbClr val="000000"/>
                    </a:solidFill>
                    <a:latin typeface="Calibri"/>
                    <a:ea typeface="Calibri"/>
                    <a:cs typeface="Calibri"/>
                  </a:defRPr>
                </a:pPr>
                <a:r>
                  <a:rPr lang="en-US"/>
                  <a:t>Central</a:t>
                </a:r>
                <a:r>
                  <a:rPr lang="en-US" baseline="0"/>
                  <a:t> Meridian of Mars (degrees)</a:t>
                </a:r>
                <a:endParaRPr lang="en-US"/>
              </a:p>
            </c:rich>
          </c:tx>
          <c:overlay val="0"/>
        </c:title>
        <c:numFmt formatCode="0" sourceLinked="0"/>
        <c:majorTickMark val="out"/>
        <c:minorTickMark val="none"/>
        <c:tickLblPos val="nextTo"/>
        <c:txPr>
          <a:bodyPr rot="0" vert="horz"/>
          <a:lstStyle/>
          <a:p>
            <a:pPr>
              <a:defRPr sz="1100" b="0" i="0" u="none" strike="noStrike" baseline="0">
                <a:solidFill>
                  <a:srgbClr val="000000"/>
                </a:solidFill>
                <a:latin typeface="Calibri"/>
                <a:ea typeface="Calibri"/>
                <a:cs typeface="Calibri"/>
              </a:defRPr>
            </a:pPr>
            <a:endParaRPr lang="en-US"/>
          </a:p>
        </c:txPr>
        <c:crossAx val="140654464"/>
        <c:crosses val="autoZero"/>
        <c:crossBetween val="midCat"/>
        <c:majorUnit val="30"/>
      </c:valAx>
    </c:plotArea>
    <c:legend>
      <c:legendPos val="r"/>
      <c:layout>
        <c:manualLayout>
          <c:xMode val="edge"/>
          <c:yMode val="edge"/>
          <c:x val="0.90099009099633487"/>
          <c:y val="8.338156516474958E-2"/>
          <c:w val="6.1573445371090448E-2"/>
          <c:h val="0.4783679312813171"/>
        </c:manualLayout>
      </c:layout>
      <c:overlay val="0"/>
      <c:txPr>
        <a:bodyPr/>
        <a:lstStyle/>
        <a:p>
          <a:pPr>
            <a:defRPr sz="810" b="0" i="0" u="none" strike="noStrike" baseline="0">
              <a:solidFill>
                <a:srgbClr val="000000"/>
              </a:solidFill>
              <a:latin typeface="Calibri"/>
              <a:ea typeface="Calibri"/>
              <a:cs typeface="Calibri"/>
            </a:defRPr>
          </a:pPr>
          <a:endParaRPr lang="en-US"/>
        </a:p>
      </c:txPr>
    </c:legend>
    <c:plotVisOnly val="1"/>
    <c:dispBlanksAs val="gap"/>
    <c:showDLblsOverMax val="0"/>
  </c:chart>
  <c:spPr>
    <a:ln>
      <a:noFill/>
    </a:ln>
  </c:spPr>
  <c:txPr>
    <a:bodyPr/>
    <a:lstStyle/>
    <a:p>
      <a:pPr>
        <a:defRPr sz="1000" b="0" i="0" u="none" strike="noStrike" baseline="0">
          <a:solidFill>
            <a:srgbClr val="000000"/>
          </a:solidFill>
          <a:latin typeface="Calibri"/>
          <a:ea typeface="Calibri"/>
          <a:cs typeface="Calibri"/>
        </a:defRPr>
      </a:pPr>
      <a:endParaRPr lang="en-US"/>
    </a:p>
  </c:txPr>
  <c:userShapes r:id="rId1"/>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Mars Mapping Coverage</a:t>
            </a:r>
          </a:p>
        </c:rich>
      </c:tx>
      <c:overlay val="0"/>
    </c:title>
    <c:autoTitleDeleted val="0"/>
    <c:plotArea>
      <c:layout>
        <c:manualLayout>
          <c:layoutTarget val="inner"/>
          <c:xMode val="edge"/>
          <c:yMode val="edge"/>
          <c:x val="8.3608360836085874E-2"/>
          <c:y val="8.7878787878787459E-2"/>
          <c:w val="0.80748074807480752"/>
          <c:h val="0.78787878787878785"/>
        </c:manualLayout>
      </c:layout>
      <c:bubbleChart>
        <c:varyColors val="0"/>
        <c:ser>
          <c:idx val="7"/>
          <c:order val="0"/>
          <c:tx>
            <c:v>2003</c:v>
          </c:tx>
          <c:spPr>
            <a:solidFill>
              <a:srgbClr val="C00000">
                <a:alpha val="67000"/>
              </a:srgbClr>
            </a:solidFill>
            <a:ln w="15875">
              <a:solidFill>
                <a:schemeClr val="tx1"/>
              </a:solidFill>
            </a:ln>
          </c:spPr>
          <c:invertIfNegative val="0"/>
          <c:xVal>
            <c:numRef>
              <c:f>Mars!$F$58</c:f>
              <c:numCache>
                <c:formatCode>General</c:formatCode>
                <c:ptCount val="1"/>
                <c:pt idx="0">
                  <c:v>250</c:v>
                </c:pt>
              </c:numCache>
            </c:numRef>
          </c:xVal>
          <c:yVal>
            <c:numRef>
              <c:f>Mars!$E$58</c:f>
              <c:numCache>
                <c:formatCode>0.0</c:formatCode>
                <c:ptCount val="1"/>
                <c:pt idx="0">
                  <c:v>42.7</c:v>
                </c:pt>
              </c:numCache>
            </c:numRef>
          </c:yVal>
          <c:bubbleSize>
            <c:numRef>
              <c:f>Mars!$Y$58</c:f>
              <c:numCache>
                <c:formatCode>0.000</c:formatCode>
                <c:ptCount val="1"/>
                <c:pt idx="0">
                  <c:v>0.46061683916243434</c:v>
                </c:pt>
              </c:numCache>
            </c:numRef>
          </c:bubbleSize>
          <c:bubble3D val="0"/>
          <c:extLst>
            <c:ext xmlns:c16="http://schemas.microsoft.com/office/drawing/2014/chart" uri="{C3380CC4-5D6E-409C-BE32-E72D297353CC}">
              <c16:uniqueId val="{00000000-54A3-4FB3-A8B9-F950B9B7E44D}"/>
            </c:ext>
          </c:extLst>
        </c:ser>
        <c:ser>
          <c:idx val="8"/>
          <c:order val="1"/>
          <c:tx>
            <c:v>2005</c:v>
          </c:tx>
          <c:spPr>
            <a:solidFill>
              <a:srgbClr val="FFC000">
                <a:alpha val="67000"/>
              </a:srgbClr>
            </a:solidFill>
            <a:ln w="15875">
              <a:solidFill>
                <a:schemeClr val="tx1"/>
              </a:solidFill>
            </a:ln>
          </c:spPr>
          <c:invertIfNegative val="0"/>
          <c:xVal>
            <c:numRef>
              <c:f>Mars!$F$59:$F$65</c:f>
              <c:numCache>
                <c:formatCode>General</c:formatCode>
                <c:ptCount val="7"/>
                <c:pt idx="0">
                  <c:v>306</c:v>
                </c:pt>
                <c:pt idx="1">
                  <c:v>307</c:v>
                </c:pt>
                <c:pt idx="2">
                  <c:v>312</c:v>
                </c:pt>
                <c:pt idx="3">
                  <c:v>317</c:v>
                </c:pt>
                <c:pt idx="4">
                  <c:v>327</c:v>
                </c:pt>
                <c:pt idx="5">
                  <c:v>341</c:v>
                </c:pt>
                <c:pt idx="6">
                  <c:v>355</c:v>
                </c:pt>
              </c:numCache>
            </c:numRef>
          </c:xVal>
          <c:yVal>
            <c:numRef>
              <c:f>Mars!$E$59:$E$65</c:f>
              <c:numCache>
                <c:formatCode>0.0</c:formatCode>
                <c:ptCount val="7"/>
                <c:pt idx="0">
                  <c:v>56.5</c:v>
                </c:pt>
                <c:pt idx="1">
                  <c:v>63.5</c:v>
                </c:pt>
                <c:pt idx="2">
                  <c:v>343.1</c:v>
                </c:pt>
                <c:pt idx="3">
                  <c:v>278.39999999999998</c:v>
                </c:pt>
                <c:pt idx="4">
                  <c:v>116.7</c:v>
                </c:pt>
                <c:pt idx="5">
                  <c:v>224.6</c:v>
                </c:pt>
                <c:pt idx="6">
                  <c:v>352.8</c:v>
                </c:pt>
              </c:numCache>
            </c:numRef>
          </c:yVal>
          <c:bubbleSize>
            <c:numRef>
              <c:f>Mars!$Y$59:$Y$65</c:f>
              <c:numCache>
                <c:formatCode>0.000</c:formatCode>
                <c:ptCount val="7"/>
                <c:pt idx="0">
                  <c:v>0.58970313546571707</c:v>
                </c:pt>
                <c:pt idx="1">
                  <c:v>0.70635166675423489</c:v>
                </c:pt>
                <c:pt idx="2">
                  <c:v>0.88057387961569</c:v>
                </c:pt>
                <c:pt idx="3">
                  <c:v>0.71830110522047241</c:v>
                </c:pt>
                <c:pt idx="4">
                  <c:v>0.84569252922847116</c:v>
                </c:pt>
                <c:pt idx="5">
                  <c:v>0.66187798463079006</c:v>
                </c:pt>
                <c:pt idx="6">
                  <c:v>0.35157240715999555</c:v>
                </c:pt>
              </c:numCache>
            </c:numRef>
          </c:bubbleSize>
          <c:bubble3D val="0"/>
          <c:extLst>
            <c:ext xmlns:c16="http://schemas.microsoft.com/office/drawing/2014/chart" uri="{C3380CC4-5D6E-409C-BE32-E72D297353CC}">
              <c16:uniqueId val="{00000001-54A3-4FB3-A8B9-F950B9B7E44D}"/>
            </c:ext>
          </c:extLst>
        </c:ser>
        <c:ser>
          <c:idx val="9"/>
          <c:order val="2"/>
          <c:tx>
            <c:v>2007-08</c:v>
          </c:tx>
          <c:spPr>
            <a:solidFill>
              <a:srgbClr val="92D050">
                <a:alpha val="67000"/>
              </a:srgbClr>
            </a:solidFill>
            <a:ln w="15875">
              <a:solidFill>
                <a:schemeClr val="tx1"/>
              </a:solidFill>
            </a:ln>
          </c:spPr>
          <c:invertIfNegative val="0"/>
          <c:xVal>
            <c:numRef>
              <c:f>Mars!$F$66:$F$71</c:f>
              <c:numCache>
                <c:formatCode>General</c:formatCode>
                <c:ptCount val="6"/>
                <c:pt idx="0">
                  <c:v>354</c:v>
                </c:pt>
                <c:pt idx="1">
                  <c:v>7</c:v>
                </c:pt>
                <c:pt idx="2">
                  <c:v>33</c:v>
                </c:pt>
                <c:pt idx="3">
                  <c:v>34</c:v>
                </c:pt>
                <c:pt idx="4">
                  <c:v>34</c:v>
                </c:pt>
                <c:pt idx="5">
                  <c:v>59</c:v>
                </c:pt>
              </c:numCache>
            </c:numRef>
          </c:xVal>
          <c:yVal>
            <c:numRef>
              <c:f>Mars!$E$66:$E$71</c:f>
              <c:numCache>
                <c:formatCode>0.0</c:formatCode>
                <c:ptCount val="6"/>
                <c:pt idx="0">
                  <c:v>187.6</c:v>
                </c:pt>
                <c:pt idx="1">
                  <c:v>332.6</c:v>
                </c:pt>
                <c:pt idx="2">
                  <c:v>187</c:v>
                </c:pt>
                <c:pt idx="3">
                  <c:v>102.2</c:v>
                </c:pt>
                <c:pt idx="4">
                  <c:v>142.1</c:v>
                </c:pt>
                <c:pt idx="5">
                  <c:v>313.39999999999998</c:v>
                </c:pt>
              </c:numCache>
            </c:numRef>
          </c:yVal>
          <c:bubbleSize>
            <c:numRef>
              <c:f>Mars!$Y$66:$Y$71</c:f>
              <c:numCache>
                <c:formatCode>0.000</c:formatCode>
                <c:ptCount val="6"/>
                <c:pt idx="0">
                  <c:v>0.49112611645683107</c:v>
                </c:pt>
                <c:pt idx="1">
                  <c:v>0.64156974574067294</c:v>
                </c:pt>
                <c:pt idx="2">
                  <c:v>0.3430317378053489</c:v>
                </c:pt>
                <c:pt idx="3">
                  <c:v>0.48523852953483748</c:v>
                </c:pt>
                <c:pt idx="4">
                  <c:v>0.48038614423948911</c:v>
                </c:pt>
                <c:pt idx="5">
                  <c:v>0.25664169188345465</c:v>
                </c:pt>
              </c:numCache>
            </c:numRef>
          </c:bubbleSize>
          <c:bubble3D val="0"/>
          <c:extLst>
            <c:ext xmlns:c16="http://schemas.microsoft.com/office/drawing/2014/chart" uri="{C3380CC4-5D6E-409C-BE32-E72D297353CC}">
              <c16:uniqueId val="{00000002-54A3-4FB3-A8B9-F950B9B7E44D}"/>
            </c:ext>
          </c:extLst>
        </c:ser>
        <c:ser>
          <c:idx val="10"/>
          <c:order val="3"/>
          <c:tx>
            <c:v>2010</c:v>
          </c:tx>
          <c:spPr>
            <a:solidFill>
              <a:srgbClr val="00B050">
                <a:alpha val="67000"/>
              </a:srgbClr>
            </a:solidFill>
            <a:ln w="15875">
              <a:solidFill>
                <a:schemeClr val="tx1"/>
              </a:solidFill>
            </a:ln>
          </c:spPr>
          <c:invertIfNegative val="0"/>
          <c:xVal>
            <c:numRef>
              <c:f>Mars!$F$72:$F$79</c:f>
              <c:numCache>
                <c:formatCode>General</c:formatCode>
                <c:ptCount val="8"/>
                <c:pt idx="0">
                  <c:v>37</c:v>
                </c:pt>
                <c:pt idx="1">
                  <c:v>45</c:v>
                </c:pt>
                <c:pt idx="2">
                  <c:v>45</c:v>
                </c:pt>
                <c:pt idx="3">
                  <c:v>50</c:v>
                </c:pt>
                <c:pt idx="4">
                  <c:v>59</c:v>
                </c:pt>
                <c:pt idx="5">
                  <c:v>65</c:v>
                </c:pt>
                <c:pt idx="6">
                  <c:v>82</c:v>
                </c:pt>
                <c:pt idx="7">
                  <c:v>119</c:v>
                </c:pt>
              </c:numCache>
            </c:numRef>
          </c:xVal>
          <c:yVal>
            <c:numRef>
              <c:f>Mars!$E$72:$E$79</c:f>
              <c:numCache>
                <c:formatCode>0.0</c:formatCode>
                <c:ptCount val="8"/>
                <c:pt idx="0">
                  <c:v>266.89999999999998</c:v>
                </c:pt>
                <c:pt idx="1">
                  <c:v>72.7</c:v>
                </c:pt>
                <c:pt idx="2">
                  <c:v>96.6</c:v>
                </c:pt>
                <c:pt idx="3">
                  <c:v>10.7</c:v>
                </c:pt>
                <c:pt idx="4">
                  <c:v>188.4</c:v>
                </c:pt>
                <c:pt idx="5">
                  <c:v>67.7</c:v>
                </c:pt>
                <c:pt idx="6">
                  <c:v>32.4</c:v>
                </c:pt>
                <c:pt idx="7">
                  <c:v>305.60000000000002</c:v>
                </c:pt>
              </c:numCache>
            </c:numRef>
          </c:yVal>
          <c:bubbleSize>
            <c:numRef>
              <c:f>Mars!$Y$72:$Y$79</c:f>
              <c:numCache>
                <c:formatCode>0.000</c:formatCode>
                <c:ptCount val="8"/>
                <c:pt idx="0">
                  <c:v>0.38123505811710678</c:v>
                </c:pt>
                <c:pt idx="1">
                  <c:v>0.38503447814051717</c:v>
                </c:pt>
                <c:pt idx="2">
                  <c:v>0.55603451568100659</c:v>
                </c:pt>
                <c:pt idx="3">
                  <c:v>0.61062426700646688</c:v>
                </c:pt>
                <c:pt idx="4">
                  <c:v>0.57392014806589764</c:v>
                </c:pt>
                <c:pt idx="5">
                  <c:v>0.65543342787860781</c:v>
                </c:pt>
                <c:pt idx="6">
                  <c:v>0.33253008233673259</c:v>
                </c:pt>
                <c:pt idx="7">
                  <c:v>0.16700991142869448</c:v>
                </c:pt>
              </c:numCache>
            </c:numRef>
          </c:bubbleSize>
          <c:bubble3D val="0"/>
          <c:extLst>
            <c:ext xmlns:c16="http://schemas.microsoft.com/office/drawing/2014/chart" uri="{C3380CC4-5D6E-409C-BE32-E72D297353CC}">
              <c16:uniqueId val="{00000003-54A3-4FB3-A8B9-F950B9B7E44D}"/>
            </c:ext>
          </c:extLst>
        </c:ser>
        <c:ser>
          <c:idx val="11"/>
          <c:order val="4"/>
          <c:tx>
            <c:v>2012</c:v>
          </c:tx>
          <c:spPr>
            <a:solidFill>
              <a:srgbClr val="00B0F0">
                <a:alpha val="63000"/>
              </a:srgbClr>
            </a:solidFill>
            <a:ln>
              <a:solidFill>
                <a:schemeClr val="tx1"/>
              </a:solidFill>
            </a:ln>
          </c:spPr>
          <c:invertIfNegative val="0"/>
          <c:xVal>
            <c:numRef>
              <c:f>Mars!$F$80:$F$85</c:f>
              <c:numCache>
                <c:formatCode>General</c:formatCode>
                <c:ptCount val="6"/>
                <c:pt idx="0" formatCode="0.0">
                  <c:v>80.569999999999993</c:v>
                </c:pt>
                <c:pt idx="1">
                  <c:v>81.069999999999993</c:v>
                </c:pt>
                <c:pt idx="2">
                  <c:v>81.099999999999994</c:v>
                </c:pt>
                <c:pt idx="3">
                  <c:v>89.38</c:v>
                </c:pt>
                <c:pt idx="4">
                  <c:v>93</c:v>
                </c:pt>
                <c:pt idx="5">
                  <c:v>108</c:v>
                </c:pt>
              </c:numCache>
            </c:numRef>
          </c:xVal>
          <c:yVal>
            <c:numRef>
              <c:f>Mars!$E$80:$E$85</c:f>
              <c:numCache>
                <c:formatCode>0.0</c:formatCode>
                <c:ptCount val="6"/>
                <c:pt idx="0">
                  <c:v>251.3</c:v>
                </c:pt>
                <c:pt idx="1">
                  <c:v>287.5</c:v>
                </c:pt>
                <c:pt idx="2">
                  <c:v>312.14</c:v>
                </c:pt>
                <c:pt idx="3">
                  <c:v>92.31</c:v>
                </c:pt>
                <c:pt idx="4">
                  <c:v>92.31</c:v>
                </c:pt>
                <c:pt idx="5">
                  <c:v>92.31</c:v>
                </c:pt>
              </c:numCache>
            </c:numRef>
          </c:yVal>
          <c:bubbleSize>
            <c:numRef>
              <c:f>Mars!$Y$80:$Y$85</c:f>
              <c:numCache>
                <c:formatCode>0.000</c:formatCode>
                <c:ptCount val="6"/>
                <c:pt idx="0">
                  <c:v>0.27217313857477998</c:v>
                </c:pt>
                <c:pt idx="1">
                  <c:v>0.60558278646085917</c:v>
                </c:pt>
                <c:pt idx="2">
                  <c:v>0.76293684927425354</c:v>
                </c:pt>
                <c:pt idx="3">
                  <c:v>0.56331356507951269</c:v>
                </c:pt>
                <c:pt idx="4">
                  <c:v>0.53690824171641049</c:v>
                </c:pt>
                <c:pt idx="5">
                  <c:v>0.40488162490089974</c:v>
                </c:pt>
              </c:numCache>
            </c:numRef>
          </c:bubbleSize>
          <c:bubble3D val="0"/>
          <c:extLst>
            <c:ext xmlns:c16="http://schemas.microsoft.com/office/drawing/2014/chart" uri="{C3380CC4-5D6E-409C-BE32-E72D297353CC}">
              <c16:uniqueId val="{00000004-54A3-4FB3-A8B9-F950B9B7E44D}"/>
            </c:ext>
          </c:extLst>
        </c:ser>
        <c:ser>
          <c:idx val="12"/>
          <c:order val="5"/>
          <c:tx>
            <c:v>2014</c:v>
          </c:tx>
          <c:spPr>
            <a:solidFill>
              <a:srgbClr val="0070C0">
                <a:alpha val="50000"/>
              </a:srgbClr>
            </a:solidFill>
            <a:ln>
              <a:solidFill>
                <a:schemeClr val="tx1"/>
              </a:solidFill>
            </a:ln>
          </c:spPr>
          <c:invertIfNegative val="0"/>
          <c:xVal>
            <c:numRef>
              <c:f>Mars!$F$86:$F$92</c:f>
              <c:numCache>
                <c:formatCode>General</c:formatCode>
                <c:ptCount val="7"/>
                <c:pt idx="0">
                  <c:v>133</c:v>
                </c:pt>
                <c:pt idx="1">
                  <c:v>137</c:v>
                </c:pt>
                <c:pt idx="2">
                  <c:v>138</c:v>
                </c:pt>
                <c:pt idx="3">
                  <c:v>140</c:v>
                </c:pt>
                <c:pt idx="4">
                  <c:v>144</c:v>
                </c:pt>
                <c:pt idx="5">
                  <c:v>153</c:v>
                </c:pt>
                <c:pt idx="6">
                  <c:v>158</c:v>
                </c:pt>
              </c:numCache>
            </c:numRef>
          </c:xVal>
          <c:yVal>
            <c:numRef>
              <c:f>Mars!$E$86:$E$92</c:f>
              <c:numCache>
                <c:formatCode>0.0</c:formatCode>
                <c:ptCount val="7"/>
                <c:pt idx="0">
                  <c:v>122.2</c:v>
                </c:pt>
                <c:pt idx="1">
                  <c:v>61.9</c:v>
                </c:pt>
                <c:pt idx="2">
                  <c:v>50.2</c:v>
                </c:pt>
                <c:pt idx="3">
                  <c:v>358.5</c:v>
                </c:pt>
                <c:pt idx="4">
                  <c:v>298.39999999999998</c:v>
                </c:pt>
                <c:pt idx="5">
                  <c:v>108.8</c:v>
                </c:pt>
                <c:pt idx="6">
                  <c:v>42</c:v>
                </c:pt>
              </c:numCache>
            </c:numRef>
          </c:yVal>
          <c:bubbleSize>
            <c:numRef>
              <c:f>Mars!$Y$86:$Y$92</c:f>
              <c:numCache>
                <c:formatCode>0.000</c:formatCode>
                <c:ptCount val="7"/>
                <c:pt idx="0">
                  <c:v>0.31484793249012105</c:v>
                </c:pt>
                <c:pt idx="1">
                  <c:v>0.54060636311614918</c:v>
                </c:pt>
                <c:pt idx="2">
                  <c:v>0.55095297626668371</c:v>
                </c:pt>
                <c:pt idx="3">
                  <c:v>7.0222045964395852E-2</c:v>
                </c:pt>
                <c:pt idx="4">
                  <c:v>0.44226799032922026</c:v>
                </c:pt>
                <c:pt idx="5">
                  <c:v>4.369185567551969E-2</c:v>
                </c:pt>
                <c:pt idx="6">
                  <c:v>6.2032252816372223E-2</c:v>
                </c:pt>
              </c:numCache>
            </c:numRef>
          </c:bubbleSize>
          <c:bubble3D val="0"/>
          <c:extLst>
            <c:ext xmlns:c16="http://schemas.microsoft.com/office/drawing/2014/chart" uri="{C3380CC4-5D6E-409C-BE32-E72D297353CC}">
              <c16:uniqueId val="{00000005-54A3-4FB3-A8B9-F950B9B7E44D}"/>
            </c:ext>
          </c:extLst>
        </c:ser>
        <c:ser>
          <c:idx val="13"/>
          <c:order val="6"/>
          <c:tx>
            <c:v>2016</c:v>
          </c:tx>
          <c:spPr>
            <a:solidFill>
              <a:srgbClr val="7030A0">
                <a:alpha val="50000"/>
              </a:srgbClr>
            </a:solidFill>
            <a:ln>
              <a:solidFill>
                <a:prstClr val="black"/>
              </a:solidFill>
            </a:ln>
          </c:spPr>
          <c:invertIfNegative val="0"/>
          <c:xVal>
            <c:numRef>
              <c:f>Mars!$F$93:$F$100</c:f>
              <c:numCache>
                <c:formatCode>General</c:formatCode>
                <c:ptCount val="8"/>
                <c:pt idx="0">
                  <c:v>141</c:v>
                </c:pt>
                <c:pt idx="1">
                  <c:v>170</c:v>
                </c:pt>
                <c:pt idx="2">
                  <c:v>176</c:v>
                </c:pt>
                <c:pt idx="3">
                  <c:v>176</c:v>
                </c:pt>
                <c:pt idx="4">
                  <c:v>182</c:v>
                </c:pt>
                <c:pt idx="5">
                  <c:v>184</c:v>
                </c:pt>
                <c:pt idx="6">
                  <c:v>186</c:v>
                </c:pt>
                <c:pt idx="7">
                  <c:v>200</c:v>
                </c:pt>
              </c:numCache>
            </c:numRef>
          </c:xVal>
          <c:yVal>
            <c:numRef>
              <c:f>Mars!$E$93:$E$99</c:f>
              <c:numCache>
                <c:formatCode>0.0</c:formatCode>
                <c:ptCount val="7"/>
                <c:pt idx="0">
                  <c:v>227.5</c:v>
                </c:pt>
                <c:pt idx="1">
                  <c:v>21.7</c:v>
                </c:pt>
                <c:pt idx="2">
                  <c:v>268.39999999999998</c:v>
                </c:pt>
                <c:pt idx="3">
                  <c:v>302.5</c:v>
                </c:pt>
                <c:pt idx="4">
                  <c:v>188</c:v>
                </c:pt>
                <c:pt idx="5">
                  <c:v>141.9</c:v>
                </c:pt>
                <c:pt idx="6">
                  <c:v>100</c:v>
                </c:pt>
              </c:numCache>
            </c:numRef>
          </c:yVal>
          <c:bubbleSize>
            <c:numRef>
              <c:f>Mars!$Y$93:$Y$99</c:f>
              <c:numCache>
                <c:formatCode>0.000</c:formatCode>
                <c:ptCount val="7"/>
                <c:pt idx="0">
                  <c:v>0.60014585309362722</c:v>
                </c:pt>
                <c:pt idx="1">
                  <c:v>0.58068166326356363</c:v>
                </c:pt>
                <c:pt idx="2">
                  <c:v>0.54499731524178041</c:v>
                </c:pt>
                <c:pt idx="3">
                  <c:v>0.45808432849013336</c:v>
                </c:pt>
                <c:pt idx="4">
                  <c:v>0.36765239766916635</c:v>
                </c:pt>
                <c:pt idx="5">
                  <c:v>0.35822541311354672</c:v>
                </c:pt>
                <c:pt idx="6">
                  <c:v>0.34644168241902212</c:v>
                </c:pt>
              </c:numCache>
            </c:numRef>
          </c:bubbleSize>
          <c:bubble3D val="0"/>
          <c:extLst>
            <c:ext xmlns:c16="http://schemas.microsoft.com/office/drawing/2014/chart" uri="{C3380CC4-5D6E-409C-BE32-E72D297353CC}">
              <c16:uniqueId val="{00000006-54A3-4FB3-A8B9-F950B9B7E44D}"/>
            </c:ext>
          </c:extLst>
        </c:ser>
        <c:ser>
          <c:idx val="14"/>
          <c:order val="7"/>
          <c:tx>
            <c:v>2018</c:v>
          </c:tx>
          <c:spPr>
            <a:ln>
              <a:solidFill>
                <a:sysClr val="windowText" lastClr="000000"/>
              </a:solidFill>
            </a:ln>
          </c:spPr>
          <c:invertIfNegative val="0"/>
          <c:xVal>
            <c:numRef>
              <c:f>Mars!$F$100:$F$113</c:f>
              <c:numCache>
                <c:formatCode>General</c:formatCode>
                <c:ptCount val="14"/>
                <c:pt idx="0">
                  <c:v>200</c:v>
                </c:pt>
                <c:pt idx="1">
                  <c:v>212</c:v>
                </c:pt>
                <c:pt idx="2">
                  <c:v>221</c:v>
                </c:pt>
                <c:pt idx="3">
                  <c:v>230</c:v>
                </c:pt>
                <c:pt idx="4">
                  <c:v>249</c:v>
                </c:pt>
                <c:pt idx="5">
                  <c:v>256</c:v>
                </c:pt>
                <c:pt idx="6">
                  <c:v>271</c:v>
                </c:pt>
                <c:pt idx="7">
                  <c:v>274</c:v>
                </c:pt>
                <c:pt idx="8">
                  <c:v>289</c:v>
                </c:pt>
                <c:pt idx="9">
                  <c:v>292</c:v>
                </c:pt>
                <c:pt idx="10">
                  <c:v>292</c:v>
                </c:pt>
                <c:pt idx="11">
                  <c:v>308</c:v>
                </c:pt>
                <c:pt idx="12">
                  <c:v>318</c:v>
                </c:pt>
                <c:pt idx="13">
                  <c:v>324</c:v>
                </c:pt>
              </c:numCache>
            </c:numRef>
          </c:xVal>
          <c:yVal>
            <c:numRef>
              <c:f>Mars!$E$100:$E$113</c:f>
              <c:numCache>
                <c:formatCode>0.0</c:formatCode>
                <c:ptCount val="14"/>
                <c:pt idx="0">
                  <c:v>132</c:v>
                </c:pt>
                <c:pt idx="1">
                  <c:v>257.5</c:v>
                </c:pt>
                <c:pt idx="2">
                  <c:v>120</c:v>
                </c:pt>
                <c:pt idx="3">
                  <c:v>320.10000000000002</c:v>
                </c:pt>
                <c:pt idx="4">
                  <c:v>52.8</c:v>
                </c:pt>
                <c:pt idx="5">
                  <c:v>314.60000000000002</c:v>
                </c:pt>
                <c:pt idx="6">
                  <c:v>64.7</c:v>
                </c:pt>
                <c:pt idx="7">
                  <c:v>15</c:v>
                </c:pt>
                <c:pt idx="8">
                  <c:v>146.19999999999999</c:v>
                </c:pt>
                <c:pt idx="9">
                  <c:v>108.7</c:v>
                </c:pt>
                <c:pt idx="10">
                  <c:v>66.3</c:v>
                </c:pt>
                <c:pt idx="11">
                  <c:v>164.4</c:v>
                </c:pt>
                <c:pt idx="12">
                  <c:v>9.9</c:v>
                </c:pt>
                <c:pt idx="13">
                  <c:v>274.10000000000002</c:v>
                </c:pt>
              </c:numCache>
            </c:numRef>
          </c:yVal>
          <c:bubbleSize>
            <c:numRef>
              <c:f>Mars!$Y$100:$Y$113</c:f>
              <c:numCache>
                <c:formatCode>0.000</c:formatCode>
                <c:ptCount val="14"/>
                <c:pt idx="0">
                  <c:v>0.47134922778098259</c:v>
                </c:pt>
                <c:pt idx="1">
                  <c:v>0.43178726398063955</c:v>
                </c:pt>
                <c:pt idx="2">
                  <c:v>0.58483825236972842</c:v>
                </c:pt>
                <c:pt idx="3">
                  <c:v>0.23162582999789846</c:v>
                </c:pt>
                <c:pt idx="4">
                  <c:v>0.39716730954546492</c:v>
                </c:pt>
                <c:pt idx="5">
                  <c:v>0.62394312874592683</c:v>
                </c:pt>
                <c:pt idx="6">
                  <c:v>0.5686130728804778</c:v>
                </c:pt>
                <c:pt idx="7">
                  <c:v>0.4477912211469039</c:v>
                </c:pt>
                <c:pt idx="8">
                  <c:v>0.41238164409060246</c:v>
                </c:pt>
                <c:pt idx="9">
                  <c:v>0.36773978526895734</c:v>
                </c:pt>
                <c:pt idx="10">
                  <c:v>0.51407326306528878</c:v>
                </c:pt>
                <c:pt idx="11">
                  <c:v>0.3870563693364793</c:v>
                </c:pt>
                <c:pt idx="12">
                  <c:v>0.33853496836157887</c:v>
                </c:pt>
                <c:pt idx="13">
                  <c:v>0.30962646600111149</c:v>
                </c:pt>
              </c:numCache>
            </c:numRef>
          </c:bubbleSize>
          <c:bubble3D val="0"/>
          <c:extLst>
            <c:ext xmlns:c16="http://schemas.microsoft.com/office/drawing/2014/chart" uri="{C3380CC4-5D6E-409C-BE32-E72D297353CC}">
              <c16:uniqueId val="{00000007-54A3-4FB3-A8B9-F950B9B7E44D}"/>
            </c:ext>
          </c:extLst>
        </c:ser>
        <c:dLbls>
          <c:showLegendKey val="0"/>
          <c:showVal val="0"/>
          <c:showCatName val="0"/>
          <c:showSerName val="0"/>
          <c:showPercent val="0"/>
          <c:showBubbleSize val="0"/>
        </c:dLbls>
        <c:bubbleScale val="15"/>
        <c:showNegBubbles val="0"/>
        <c:axId val="140654464"/>
        <c:axId val="140700672"/>
      </c:bubbleChart>
      <c:valAx>
        <c:axId val="140654464"/>
        <c:scaling>
          <c:orientation val="minMax"/>
          <c:max val="360"/>
          <c:min val="0"/>
        </c:scaling>
        <c:delete val="0"/>
        <c:axPos val="b"/>
        <c:majorGridlines/>
        <c:title>
          <c:tx>
            <c:rich>
              <a:bodyPr/>
              <a:lstStyle/>
              <a:p>
                <a:pPr>
                  <a:defRPr sz="1400"/>
                </a:pPr>
                <a:r>
                  <a:rPr lang="en-US" sz="1400"/>
                  <a:t>Solar Longitude of Mars (Ls, degrees)</a:t>
                </a:r>
              </a:p>
            </c:rich>
          </c:tx>
          <c:overlay val="0"/>
        </c:title>
        <c:numFmt formatCode="General" sourceLinked="1"/>
        <c:majorTickMark val="out"/>
        <c:minorTickMark val="none"/>
        <c:tickLblPos val="nextTo"/>
        <c:txPr>
          <a:bodyPr rot="0" vert="horz"/>
          <a:lstStyle/>
          <a:p>
            <a:pPr>
              <a:defRPr/>
            </a:pPr>
            <a:endParaRPr lang="en-US"/>
          </a:p>
        </c:txPr>
        <c:crossAx val="140700672"/>
        <c:crosses val="autoZero"/>
        <c:crossBetween val="midCat"/>
        <c:majorUnit val="45"/>
        <c:minorUnit val="45"/>
      </c:valAx>
      <c:valAx>
        <c:axId val="140700672"/>
        <c:scaling>
          <c:orientation val="minMax"/>
          <c:max val="360"/>
          <c:min val="0"/>
        </c:scaling>
        <c:delete val="0"/>
        <c:axPos val="l"/>
        <c:majorGridlines/>
        <c:title>
          <c:tx>
            <c:rich>
              <a:bodyPr/>
              <a:lstStyle/>
              <a:p>
                <a:pPr>
                  <a:defRPr sz="1400"/>
                </a:pPr>
                <a:r>
                  <a:rPr lang="en-US" sz="1400"/>
                  <a:t>Central Meridian of Mars (degrees)</a:t>
                </a:r>
              </a:p>
            </c:rich>
          </c:tx>
          <c:overlay val="0"/>
        </c:title>
        <c:numFmt formatCode="0" sourceLinked="0"/>
        <c:majorTickMark val="out"/>
        <c:minorTickMark val="in"/>
        <c:tickLblPos val="nextTo"/>
        <c:spPr>
          <a:ln/>
        </c:spPr>
        <c:txPr>
          <a:bodyPr rot="0" vert="horz"/>
          <a:lstStyle/>
          <a:p>
            <a:pPr>
              <a:defRPr/>
            </a:pPr>
            <a:endParaRPr lang="en-US"/>
          </a:p>
        </c:txPr>
        <c:crossAx val="140654464"/>
        <c:crosses val="autoZero"/>
        <c:crossBetween val="midCat"/>
        <c:majorUnit val="60"/>
        <c:minorUnit val="30"/>
      </c:valAx>
    </c:plotArea>
    <c:legend>
      <c:legendPos val="r"/>
      <c:layout>
        <c:manualLayout>
          <c:xMode val="edge"/>
          <c:yMode val="edge"/>
          <c:x val="0.90099009099633487"/>
          <c:y val="8.338156516474958E-2"/>
          <c:w val="8.7988492910274302E-2"/>
          <c:h val="0.4783679312813171"/>
        </c:manualLayout>
      </c:layout>
      <c:overlay val="0"/>
    </c:legend>
    <c:plotVisOnly val="1"/>
    <c:dispBlanksAs val="gap"/>
    <c:showDLblsOverMax val="0"/>
  </c:chart>
  <c:spPr>
    <a:ln>
      <a:noFill/>
    </a:ln>
  </c:spPr>
  <c:txPr>
    <a:bodyPr/>
    <a:lstStyle/>
    <a:p>
      <a:pPr>
        <a:defRPr sz="1000" b="1" i="0" u="none" strike="noStrike" baseline="0">
          <a:solidFill>
            <a:srgbClr val="000000"/>
          </a:solidFill>
          <a:latin typeface="Calibri"/>
          <a:ea typeface="Calibri"/>
          <a:cs typeface="Calibri"/>
        </a:defRPr>
      </a:pPr>
      <a:endParaRPr lang="en-US"/>
    </a:p>
  </c:txPr>
  <c:userShapes r:id="rId1"/>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2.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4.xml"/></Relationships>
</file>

<file path=xl/chartsheets/_rels/sheet3.xml.rels><?xml version="1.0" encoding="UTF-8" standalone="yes"?>
<Relationships xmlns="http://schemas.openxmlformats.org/package/2006/relationships"><Relationship Id="rId1" Type="http://schemas.openxmlformats.org/officeDocument/2006/relationships/drawing" Target="../drawings/drawing6.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500-000000000000}">
  <sheetPr/>
  <sheetViews>
    <sheetView zoomScale="70" workbookViewId="0"/>
  </sheetViews>
  <pageMargins left="0.7" right="0.7" top="0.75" bottom="0.75" header="0.3" footer="0.3"/>
  <drawing r:id="rId1"/>
</chartsheet>
</file>

<file path=xl/chartsheets/sheet2.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96D3341E-001A-47AD-BC1D-B2979895F5D6}">
  <sheetPr/>
  <sheetViews>
    <sheetView zoomScale="70" workbookViewId="0"/>
  </sheetViews>
  <pageMargins left="0.7" right="0.7" top="0.75" bottom="0.75" header="0.3" footer="0.3"/>
  <drawing r:id="rId1"/>
</chartsheet>
</file>

<file path=xl/chartsheets/sheet3.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1F688366-B527-4DD6-B3B0-8163E942E288}">
  <sheetPr/>
  <sheetViews>
    <sheetView zoomScale="70" workbookViewId="0"/>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6.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171450</xdr:colOff>
      <xdr:row>0</xdr:row>
      <xdr:rowOff>76200</xdr:rowOff>
    </xdr:from>
    <xdr:to>
      <xdr:col>12</xdr:col>
      <xdr:colOff>257175</xdr:colOff>
      <xdr:row>24</xdr:row>
      <xdr:rowOff>19050</xdr:rowOff>
    </xdr:to>
    <xdr:graphicFrame macro="">
      <xdr:nvGraphicFramePr>
        <xdr:cNvPr id="1606" name="Chart 1">
          <a:extLst>
            <a:ext uri="{FF2B5EF4-FFF2-40B4-BE49-F238E27FC236}">
              <a16:creationId xmlns:a16="http://schemas.microsoft.com/office/drawing/2014/main" id="{00000000-0008-0000-0000-00004606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absoluteAnchor>
    <xdr:pos x="0" y="0"/>
    <xdr:ext cx="12981214" cy="9416143"/>
    <xdr:graphicFrame macro="">
      <xdr:nvGraphicFramePr>
        <xdr:cNvPr id="2" name="Chart 1">
          <a:extLst>
            <a:ext uri="{FF2B5EF4-FFF2-40B4-BE49-F238E27FC236}">
              <a16:creationId xmlns:a16="http://schemas.microsoft.com/office/drawing/2014/main" id="{00000000-0008-0000-05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c:userShapes xmlns:c="http://schemas.openxmlformats.org/drawingml/2006/chart">
  <cdr:relSizeAnchor xmlns:cdr="http://schemas.openxmlformats.org/drawingml/2006/chartDrawing">
    <cdr:from>
      <cdr:x>0.48736</cdr:x>
      <cdr:y>0.83489</cdr:y>
    </cdr:from>
    <cdr:to>
      <cdr:x>0.68908</cdr:x>
      <cdr:y>0.87742</cdr:y>
    </cdr:to>
    <cdr:sp macro="" textlink="">
      <cdr:nvSpPr>
        <cdr:cNvPr id="2" name="TextBox 1"/>
        <cdr:cNvSpPr txBox="1"/>
      </cdr:nvSpPr>
      <cdr:spPr>
        <a:xfrm xmlns:a="http://schemas.openxmlformats.org/drawingml/2006/main">
          <a:off x="4215062" y="5240606"/>
          <a:ext cx="1744579" cy="266960"/>
        </a:xfrm>
        <a:prstGeom xmlns:a="http://schemas.openxmlformats.org/drawingml/2006/main" prst="rect">
          <a:avLst/>
        </a:prstGeom>
        <a:solidFill xmlns:a="http://schemas.openxmlformats.org/drawingml/2006/main">
          <a:srgbClr val="FFFF99">
            <a:alpha val="58824"/>
          </a:srgbClr>
        </a:solidFill>
      </cdr:spPr>
      <cdr:txBody>
        <a:bodyPr xmlns:a="http://schemas.openxmlformats.org/drawingml/2006/main" wrap="non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r>
            <a:rPr lang="en-US" sz="1100">
              <a:latin typeface="Calibri"/>
              <a:ea typeface="+mn-ea"/>
              <a:cs typeface="+mn-cs"/>
            </a:rPr>
            <a:t>Southern </a:t>
          </a:r>
          <a:r>
            <a:rPr lang="en-US" sz="1100"/>
            <a:t>Spring</a:t>
          </a:r>
        </a:p>
      </cdr:txBody>
    </cdr:sp>
  </cdr:relSizeAnchor>
  <cdr:relSizeAnchor xmlns:cdr="http://schemas.openxmlformats.org/drawingml/2006/chartDrawing">
    <cdr:from>
      <cdr:x>0.68908</cdr:x>
      <cdr:y>0.83474</cdr:y>
    </cdr:from>
    <cdr:to>
      <cdr:x>0.8908</cdr:x>
      <cdr:y>0.87703</cdr:y>
    </cdr:to>
    <cdr:sp macro="" textlink="">
      <cdr:nvSpPr>
        <cdr:cNvPr id="3" name="TextBox 2"/>
        <cdr:cNvSpPr txBox="1"/>
      </cdr:nvSpPr>
      <cdr:spPr>
        <a:xfrm xmlns:a="http://schemas.openxmlformats.org/drawingml/2006/main">
          <a:off x="5959641" y="5239621"/>
          <a:ext cx="1744579" cy="265454"/>
        </a:xfrm>
        <a:prstGeom xmlns:a="http://schemas.openxmlformats.org/drawingml/2006/main" prst="rect">
          <a:avLst/>
        </a:prstGeom>
        <a:solidFill xmlns:a="http://schemas.openxmlformats.org/drawingml/2006/main">
          <a:srgbClr val="92D050">
            <a:alpha val="59000"/>
          </a:srgbClr>
        </a:solidFill>
      </cdr:spPr>
      <cdr:txBody>
        <a:bodyPr xmlns:a="http://schemas.openxmlformats.org/drawingml/2006/main" wrap="non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r>
            <a:rPr lang="en-US" sz="1100">
              <a:latin typeface="Calibri"/>
              <a:ea typeface="+mn-ea"/>
              <a:cs typeface="+mn-cs"/>
            </a:rPr>
            <a:t>Southern </a:t>
          </a:r>
          <a:r>
            <a:rPr lang="en-US" sz="1100"/>
            <a:t>Summer</a:t>
          </a:r>
        </a:p>
      </cdr:txBody>
    </cdr:sp>
  </cdr:relSizeAnchor>
  <cdr:relSizeAnchor xmlns:cdr="http://schemas.openxmlformats.org/drawingml/2006/chartDrawing">
    <cdr:from>
      <cdr:x>0.08347</cdr:x>
      <cdr:y>0.83489</cdr:y>
    </cdr:from>
    <cdr:to>
      <cdr:x>0.28518</cdr:x>
      <cdr:y>0.87742</cdr:y>
    </cdr:to>
    <cdr:sp macro="" textlink="">
      <cdr:nvSpPr>
        <cdr:cNvPr id="4" name="TextBox 3"/>
        <cdr:cNvSpPr txBox="1"/>
      </cdr:nvSpPr>
      <cdr:spPr>
        <a:xfrm xmlns:a="http://schemas.openxmlformats.org/drawingml/2006/main">
          <a:off x="721894" y="5240606"/>
          <a:ext cx="1744579" cy="266960"/>
        </a:xfrm>
        <a:prstGeom xmlns:a="http://schemas.openxmlformats.org/drawingml/2006/main" prst="rect">
          <a:avLst/>
        </a:prstGeom>
        <a:solidFill xmlns:a="http://schemas.openxmlformats.org/drawingml/2006/main">
          <a:srgbClr val="F79646">
            <a:lumMod val="75000"/>
            <a:alpha val="59000"/>
          </a:srgbClr>
        </a:solidFill>
      </cdr:spPr>
      <cdr:txBody>
        <a:bodyPr xmlns:a="http://schemas.openxmlformats.org/drawingml/2006/main" wrap="non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r>
            <a:rPr lang="en-US" sz="1100"/>
            <a:t>Southern Autumn</a:t>
          </a:r>
        </a:p>
      </cdr:txBody>
    </cdr:sp>
  </cdr:relSizeAnchor>
  <cdr:relSizeAnchor xmlns:cdr="http://schemas.openxmlformats.org/drawingml/2006/chartDrawing">
    <cdr:from>
      <cdr:x>0.28472</cdr:x>
      <cdr:y>0.83489</cdr:y>
    </cdr:from>
    <cdr:to>
      <cdr:x>0.4869</cdr:x>
      <cdr:y>0.87742</cdr:y>
    </cdr:to>
    <cdr:sp macro="" textlink="">
      <cdr:nvSpPr>
        <cdr:cNvPr id="5" name="TextBox 4"/>
        <cdr:cNvSpPr txBox="1"/>
      </cdr:nvSpPr>
      <cdr:spPr>
        <a:xfrm xmlns:a="http://schemas.openxmlformats.org/drawingml/2006/main">
          <a:off x="2462463" y="5240606"/>
          <a:ext cx="1748590" cy="266960"/>
        </a:xfrm>
        <a:prstGeom xmlns:a="http://schemas.openxmlformats.org/drawingml/2006/main" prst="rect">
          <a:avLst/>
        </a:prstGeom>
        <a:solidFill xmlns:a="http://schemas.openxmlformats.org/drawingml/2006/main">
          <a:srgbClr val="4F81BD">
            <a:lumMod val="60000"/>
            <a:lumOff val="40000"/>
            <a:alpha val="59000"/>
          </a:srgbClr>
        </a:solidFill>
      </cdr:spPr>
      <cdr:txBody>
        <a:bodyPr xmlns:a="http://schemas.openxmlformats.org/drawingml/2006/main" wrap="non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r>
            <a:rPr lang="en-US" sz="1100">
              <a:latin typeface="Calibri"/>
              <a:ea typeface="+mn-ea"/>
              <a:cs typeface="+mn-cs"/>
            </a:rPr>
            <a:t>Southern </a:t>
          </a:r>
          <a:r>
            <a:rPr lang="en-US" sz="1100"/>
            <a:t>Winter</a:t>
          </a:r>
        </a:p>
      </cdr:txBody>
    </cdr:sp>
  </cdr:relSizeAnchor>
  <cdr:relSizeAnchor xmlns:cdr="http://schemas.openxmlformats.org/drawingml/2006/chartDrawing">
    <cdr:from>
      <cdr:x>0.08347</cdr:x>
      <cdr:y>0.08812</cdr:y>
    </cdr:from>
    <cdr:to>
      <cdr:x>0.28472</cdr:x>
      <cdr:y>0.13115</cdr:y>
    </cdr:to>
    <cdr:sp macro="" textlink="">
      <cdr:nvSpPr>
        <cdr:cNvPr id="6" name="TextBox 5"/>
        <cdr:cNvSpPr txBox="1"/>
      </cdr:nvSpPr>
      <cdr:spPr>
        <a:xfrm xmlns:a="http://schemas.openxmlformats.org/drawingml/2006/main">
          <a:off x="721894" y="553129"/>
          <a:ext cx="1740569" cy="270099"/>
        </a:xfrm>
        <a:prstGeom xmlns:a="http://schemas.openxmlformats.org/drawingml/2006/main" prst="rect">
          <a:avLst/>
        </a:prstGeom>
        <a:solidFill xmlns:a="http://schemas.openxmlformats.org/drawingml/2006/main">
          <a:srgbClr val="FFFF99">
            <a:alpha val="58824"/>
          </a:srgbClr>
        </a:solidFill>
      </cdr:spPr>
      <cdr:txBody>
        <a:bodyPr xmlns:a="http://schemas.openxmlformats.org/drawingml/2006/main" wrap="non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r>
            <a:rPr lang="en-US" sz="1100">
              <a:latin typeface="Calibri"/>
              <a:ea typeface="+mn-ea"/>
              <a:cs typeface="+mn-cs"/>
            </a:rPr>
            <a:t>Norther</a:t>
          </a:r>
          <a:r>
            <a:rPr lang="en-US" sz="1100" baseline="0">
              <a:latin typeface="Calibri"/>
              <a:ea typeface="+mn-ea"/>
              <a:cs typeface="+mn-cs"/>
            </a:rPr>
            <a:t>n </a:t>
          </a:r>
          <a:r>
            <a:rPr lang="en-US" sz="1100"/>
            <a:t>Spring</a:t>
          </a:r>
        </a:p>
      </cdr:txBody>
    </cdr:sp>
  </cdr:relSizeAnchor>
  <cdr:relSizeAnchor xmlns:cdr="http://schemas.openxmlformats.org/drawingml/2006/chartDrawing">
    <cdr:from>
      <cdr:x>0.28565</cdr:x>
      <cdr:y>0.08682</cdr:y>
    </cdr:from>
    <cdr:to>
      <cdr:x>0.48736</cdr:x>
      <cdr:y>0.1306</cdr:y>
    </cdr:to>
    <cdr:sp macro="" textlink="">
      <cdr:nvSpPr>
        <cdr:cNvPr id="7" name="TextBox 6"/>
        <cdr:cNvSpPr txBox="1"/>
      </cdr:nvSpPr>
      <cdr:spPr>
        <a:xfrm xmlns:a="http://schemas.openxmlformats.org/drawingml/2006/main">
          <a:off x="2470484" y="544947"/>
          <a:ext cx="1744579" cy="274806"/>
        </a:xfrm>
        <a:prstGeom xmlns:a="http://schemas.openxmlformats.org/drawingml/2006/main" prst="rect">
          <a:avLst/>
        </a:prstGeom>
        <a:solidFill xmlns:a="http://schemas.openxmlformats.org/drawingml/2006/main">
          <a:srgbClr val="92D050">
            <a:alpha val="59000"/>
          </a:srgbClr>
        </a:solidFill>
      </cdr:spPr>
      <cdr:txBody>
        <a:bodyPr xmlns:a="http://schemas.openxmlformats.org/drawingml/2006/main" wrap="non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r>
            <a:rPr lang="en-US" sz="1100">
              <a:latin typeface="Calibri"/>
              <a:ea typeface="+mn-ea"/>
              <a:cs typeface="+mn-cs"/>
            </a:rPr>
            <a:t>Norther</a:t>
          </a:r>
          <a:r>
            <a:rPr lang="en-US" sz="1100" baseline="0">
              <a:latin typeface="Calibri"/>
              <a:ea typeface="+mn-ea"/>
              <a:cs typeface="+mn-cs"/>
            </a:rPr>
            <a:t>n </a:t>
          </a:r>
          <a:r>
            <a:rPr lang="en-US" sz="1100"/>
            <a:t>Summer</a:t>
          </a:r>
        </a:p>
      </cdr:txBody>
    </cdr:sp>
  </cdr:relSizeAnchor>
  <cdr:relSizeAnchor xmlns:cdr="http://schemas.openxmlformats.org/drawingml/2006/chartDrawing">
    <cdr:from>
      <cdr:x>0.48736</cdr:x>
      <cdr:y>0.08682</cdr:y>
    </cdr:from>
    <cdr:to>
      <cdr:x>0.68908</cdr:x>
      <cdr:y>0.1306</cdr:y>
    </cdr:to>
    <cdr:sp macro="" textlink="">
      <cdr:nvSpPr>
        <cdr:cNvPr id="8" name="TextBox 7"/>
        <cdr:cNvSpPr txBox="1"/>
      </cdr:nvSpPr>
      <cdr:spPr>
        <a:xfrm xmlns:a="http://schemas.openxmlformats.org/drawingml/2006/main">
          <a:off x="4215063" y="544947"/>
          <a:ext cx="1744579" cy="274806"/>
        </a:xfrm>
        <a:prstGeom xmlns:a="http://schemas.openxmlformats.org/drawingml/2006/main" prst="rect">
          <a:avLst/>
        </a:prstGeom>
        <a:solidFill xmlns:a="http://schemas.openxmlformats.org/drawingml/2006/main">
          <a:srgbClr val="F79646">
            <a:lumMod val="75000"/>
            <a:alpha val="59000"/>
          </a:srgbClr>
        </a:solidFill>
      </cdr:spPr>
      <cdr:txBody>
        <a:bodyPr xmlns:a="http://schemas.openxmlformats.org/drawingml/2006/main" wrap="non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r>
            <a:rPr lang="en-US" sz="1100"/>
            <a:t>Norther</a:t>
          </a:r>
          <a:r>
            <a:rPr lang="en-US" sz="1100" baseline="0"/>
            <a:t>n </a:t>
          </a:r>
          <a:r>
            <a:rPr lang="en-US" sz="1100"/>
            <a:t>Autumn</a:t>
          </a:r>
        </a:p>
      </cdr:txBody>
    </cdr:sp>
  </cdr:relSizeAnchor>
  <cdr:relSizeAnchor xmlns:cdr="http://schemas.openxmlformats.org/drawingml/2006/chartDrawing">
    <cdr:from>
      <cdr:x>0.68943</cdr:x>
      <cdr:y>0.08682</cdr:y>
    </cdr:from>
    <cdr:to>
      <cdr:x>0.89184</cdr:x>
      <cdr:y>0.1306</cdr:y>
    </cdr:to>
    <cdr:sp macro="" textlink="">
      <cdr:nvSpPr>
        <cdr:cNvPr id="9" name="TextBox 8"/>
        <cdr:cNvSpPr txBox="1"/>
      </cdr:nvSpPr>
      <cdr:spPr>
        <a:xfrm xmlns:a="http://schemas.openxmlformats.org/drawingml/2006/main">
          <a:off x="5962651" y="544947"/>
          <a:ext cx="1750634" cy="274806"/>
        </a:xfrm>
        <a:prstGeom xmlns:a="http://schemas.openxmlformats.org/drawingml/2006/main" prst="rect">
          <a:avLst/>
        </a:prstGeom>
        <a:solidFill xmlns:a="http://schemas.openxmlformats.org/drawingml/2006/main">
          <a:srgbClr val="4F81BD">
            <a:lumMod val="60000"/>
            <a:lumOff val="40000"/>
            <a:alpha val="59000"/>
          </a:srgbClr>
        </a:solidFill>
      </cdr:spPr>
      <cdr:txBody>
        <a:bodyPr xmlns:a="http://schemas.openxmlformats.org/drawingml/2006/main" wrap="non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r>
            <a:rPr lang="en-US" sz="1100">
              <a:latin typeface="Calibri"/>
              <a:ea typeface="+mn-ea"/>
              <a:cs typeface="+mn-cs"/>
            </a:rPr>
            <a:t>Norther</a:t>
          </a:r>
          <a:r>
            <a:rPr lang="en-US" sz="1100" baseline="0">
              <a:latin typeface="Calibri"/>
              <a:ea typeface="+mn-ea"/>
              <a:cs typeface="+mn-cs"/>
            </a:rPr>
            <a:t>n </a:t>
          </a:r>
          <a:r>
            <a:rPr lang="en-US" sz="1100"/>
            <a:t>Winter</a:t>
          </a:r>
        </a:p>
      </cdr:txBody>
    </cdr:sp>
  </cdr:relSizeAnchor>
  <cdr:relSizeAnchor xmlns:cdr="http://schemas.openxmlformats.org/drawingml/2006/chartDrawing">
    <cdr:from>
      <cdr:x>0.45357</cdr:x>
      <cdr:y>0.14506</cdr:y>
    </cdr:from>
    <cdr:to>
      <cdr:x>0.89052</cdr:x>
      <cdr:y>0.18785</cdr:y>
    </cdr:to>
    <cdr:sp macro="" textlink="">
      <cdr:nvSpPr>
        <cdr:cNvPr id="10" name="TextBox 1"/>
        <cdr:cNvSpPr txBox="1"/>
      </cdr:nvSpPr>
      <cdr:spPr>
        <a:xfrm xmlns:a="http://schemas.openxmlformats.org/drawingml/2006/main">
          <a:off x="3928533" y="912542"/>
          <a:ext cx="3784600" cy="269180"/>
        </a:xfrm>
        <a:prstGeom xmlns:a="http://schemas.openxmlformats.org/drawingml/2006/main" prst="rect">
          <a:avLst/>
        </a:prstGeom>
        <a:solidFill xmlns:a="http://schemas.openxmlformats.org/drawingml/2006/main">
          <a:srgbClr val="F79646">
            <a:lumMod val="40000"/>
            <a:lumOff val="60000"/>
            <a:alpha val="59000"/>
          </a:srgbClr>
        </a:solidFill>
      </cdr:spPr>
      <cdr:txBody>
        <a:bodyPr xmlns:a="http://schemas.openxmlformats.org/drawingml/2006/main" wrap="non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r>
            <a:rPr lang="en-US" sz="1100"/>
            <a:t>Polar Hood</a:t>
          </a:r>
        </a:p>
      </cdr:txBody>
    </cdr:sp>
  </cdr:relSizeAnchor>
  <cdr:relSizeAnchor xmlns:cdr="http://schemas.openxmlformats.org/drawingml/2006/chartDrawing">
    <cdr:from>
      <cdr:x>0.15632</cdr:x>
      <cdr:y>0.77702</cdr:y>
    </cdr:from>
    <cdr:to>
      <cdr:x>0.46963</cdr:x>
      <cdr:y>0.81956</cdr:y>
    </cdr:to>
    <cdr:sp macro="" textlink="">
      <cdr:nvSpPr>
        <cdr:cNvPr id="11" name="TextBox 1"/>
        <cdr:cNvSpPr txBox="1"/>
      </cdr:nvSpPr>
      <cdr:spPr>
        <a:xfrm xmlns:a="http://schemas.openxmlformats.org/drawingml/2006/main">
          <a:off x="1362075" y="4886325"/>
          <a:ext cx="2740916" cy="268999"/>
        </a:xfrm>
        <a:prstGeom xmlns:a="http://schemas.openxmlformats.org/drawingml/2006/main" prst="rect">
          <a:avLst/>
        </a:prstGeom>
        <a:solidFill xmlns:a="http://schemas.openxmlformats.org/drawingml/2006/main">
          <a:srgbClr val="F79646">
            <a:lumMod val="40000"/>
            <a:lumOff val="60000"/>
            <a:alpha val="59000"/>
          </a:srgbClr>
        </a:solidFill>
      </cdr:spPr>
      <cdr:txBody>
        <a:bodyPr xmlns:a="http://schemas.openxmlformats.org/drawingml/2006/main" wrap="non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r>
            <a:rPr lang="en-US" sz="1100"/>
            <a:t>Polar Hood</a:t>
          </a:r>
        </a:p>
      </cdr:txBody>
    </cdr:sp>
  </cdr:relSizeAnchor>
</c:userShapes>
</file>

<file path=xl/drawings/drawing4.xml><?xml version="1.0" encoding="utf-8"?>
<xdr:wsDr xmlns:xdr="http://schemas.openxmlformats.org/drawingml/2006/spreadsheetDrawing" xmlns:a="http://schemas.openxmlformats.org/drawingml/2006/main">
  <xdr:absoluteAnchor>
    <xdr:pos x="0" y="0"/>
    <xdr:ext cx="12981214" cy="9416143"/>
    <xdr:graphicFrame macro="">
      <xdr:nvGraphicFramePr>
        <xdr:cNvPr id="2" name="Chart 1">
          <a:extLst>
            <a:ext uri="{FF2B5EF4-FFF2-40B4-BE49-F238E27FC236}">
              <a16:creationId xmlns:a16="http://schemas.microsoft.com/office/drawing/2014/main" id="{A7573042-1A55-4C90-AD81-745BD07D6CB6}"/>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5.xml><?xml version="1.0" encoding="utf-8"?>
<c:userShapes xmlns:c="http://schemas.openxmlformats.org/drawingml/2006/chart">
  <cdr:relSizeAnchor xmlns:cdr="http://schemas.openxmlformats.org/drawingml/2006/chartDrawing">
    <cdr:from>
      <cdr:x>0.48736</cdr:x>
      <cdr:y>0.83489</cdr:y>
    </cdr:from>
    <cdr:to>
      <cdr:x>0.68908</cdr:x>
      <cdr:y>0.87742</cdr:y>
    </cdr:to>
    <cdr:sp macro="" textlink="">
      <cdr:nvSpPr>
        <cdr:cNvPr id="2" name="TextBox 1"/>
        <cdr:cNvSpPr txBox="1"/>
      </cdr:nvSpPr>
      <cdr:spPr>
        <a:xfrm xmlns:a="http://schemas.openxmlformats.org/drawingml/2006/main">
          <a:off x="4215062" y="5240606"/>
          <a:ext cx="1744579" cy="266960"/>
        </a:xfrm>
        <a:prstGeom xmlns:a="http://schemas.openxmlformats.org/drawingml/2006/main" prst="rect">
          <a:avLst/>
        </a:prstGeom>
        <a:solidFill xmlns:a="http://schemas.openxmlformats.org/drawingml/2006/main">
          <a:srgbClr val="FFFF99">
            <a:alpha val="58824"/>
          </a:srgbClr>
        </a:solidFill>
      </cdr:spPr>
      <cdr:txBody>
        <a:bodyPr xmlns:a="http://schemas.openxmlformats.org/drawingml/2006/main" wrap="non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r>
            <a:rPr lang="en-US" sz="1100">
              <a:latin typeface="Calibri"/>
              <a:ea typeface="+mn-ea"/>
              <a:cs typeface="+mn-cs"/>
            </a:rPr>
            <a:t>Southern </a:t>
          </a:r>
          <a:r>
            <a:rPr lang="en-US" sz="1100"/>
            <a:t>Spring</a:t>
          </a:r>
        </a:p>
      </cdr:txBody>
    </cdr:sp>
  </cdr:relSizeAnchor>
  <cdr:relSizeAnchor xmlns:cdr="http://schemas.openxmlformats.org/drawingml/2006/chartDrawing">
    <cdr:from>
      <cdr:x>0.68908</cdr:x>
      <cdr:y>0.83474</cdr:y>
    </cdr:from>
    <cdr:to>
      <cdr:x>0.8908</cdr:x>
      <cdr:y>0.87703</cdr:y>
    </cdr:to>
    <cdr:sp macro="" textlink="">
      <cdr:nvSpPr>
        <cdr:cNvPr id="3" name="TextBox 2"/>
        <cdr:cNvSpPr txBox="1"/>
      </cdr:nvSpPr>
      <cdr:spPr>
        <a:xfrm xmlns:a="http://schemas.openxmlformats.org/drawingml/2006/main">
          <a:off x="5959641" y="5239621"/>
          <a:ext cx="1744579" cy="265454"/>
        </a:xfrm>
        <a:prstGeom xmlns:a="http://schemas.openxmlformats.org/drawingml/2006/main" prst="rect">
          <a:avLst/>
        </a:prstGeom>
        <a:solidFill xmlns:a="http://schemas.openxmlformats.org/drawingml/2006/main">
          <a:srgbClr val="92D050">
            <a:alpha val="59000"/>
          </a:srgbClr>
        </a:solidFill>
      </cdr:spPr>
      <cdr:txBody>
        <a:bodyPr xmlns:a="http://schemas.openxmlformats.org/drawingml/2006/main" wrap="non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r>
            <a:rPr lang="en-US" sz="1100">
              <a:latin typeface="Calibri"/>
              <a:ea typeface="+mn-ea"/>
              <a:cs typeface="+mn-cs"/>
            </a:rPr>
            <a:t>Southern </a:t>
          </a:r>
          <a:r>
            <a:rPr lang="en-US" sz="1100"/>
            <a:t>Summer</a:t>
          </a:r>
        </a:p>
      </cdr:txBody>
    </cdr:sp>
  </cdr:relSizeAnchor>
  <cdr:relSizeAnchor xmlns:cdr="http://schemas.openxmlformats.org/drawingml/2006/chartDrawing">
    <cdr:from>
      <cdr:x>0.08347</cdr:x>
      <cdr:y>0.83489</cdr:y>
    </cdr:from>
    <cdr:to>
      <cdr:x>0.28518</cdr:x>
      <cdr:y>0.87742</cdr:y>
    </cdr:to>
    <cdr:sp macro="" textlink="">
      <cdr:nvSpPr>
        <cdr:cNvPr id="4" name="TextBox 3"/>
        <cdr:cNvSpPr txBox="1"/>
      </cdr:nvSpPr>
      <cdr:spPr>
        <a:xfrm xmlns:a="http://schemas.openxmlformats.org/drawingml/2006/main">
          <a:off x="721894" y="5240606"/>
          <a:ext cx="1744579" cy="266960"/>
        </a:xfrm>
        <a:prstGeom xmlns:a="http://schemas.openxmlformats.org/drawingml/2006/main" prst="rect">
          <a:avLst/>
        </a:prstGeom>
        <a:solidFill xmlns:a="http://schemas.openxmlformats.org/drawingml/2006/main">
          <a:srgbClr val="F79646">
            <a:lumMod val="75000"/>
            <a:alpha val="59000"/>
          </a:srgbClr>
        </a:solidFill>
      </cdr:spPr>
      <cdr:txBody>
        <a:bodyPr xmlns:a="http://schemas.openxmlformats.org/drawingml/2006/main" wrap="non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r>
            <a:rPr lang="en-US" sz="1100"/>
            <a:t>Southern Autumn</a:t>
          </a:r>
        </a:p>
      </cdr:txBody>
    </cdr:sp>
  </cdr:relSizeAnchor>
  <cdr:relSizeAnchor xmlns:cdr="http://schemas.openxmlformats.org/drawingml/2006/chartDrawing">
    <cdr:from>
      <cdr:x>0.28472</cdr:x>
      <cdr:y>0.83489</cdr:y>
    </cdr:from>
    <cdr:to>
      <cdr:x>0.4869</cdr:x>
      <cdr:y>0.87742</cdr:y>
    </cdr:to>
    <cdr:sp macro="" textlink="">
      <cdr:nvSpPr>
        <cdr:cNvPr id="5" name="TextBox 4"/>
        <cdr:cNvSpPr txBox="1"/>
      </cdr:nvSpPr>
      <cdr:spPr>
        <a:xfrm xmlns:a="http://schemas.openxmlformats.org/drawingml/2006/main">
          <a:off x="2462463" y="5240606"/>
          <a:ext cx="1748590" cy="266960"/>
        </a:xfrm>
        <a:prstGeom xmlns:a="http://schemas.openxmlformats.org/drawingml/2006/main" prst="rect">
          <a:avLst/>
        </a:prstGeom>
        <a:solidFill xmlns:a="http://schemas.openxmlformats.org/drawingml/2006/main">
          <a:srgbClr val="4F81BD">
            <a:lumMod val="60000"/>
            <a:lumOff val="40000"/>
            <a:alpha val="59000"/>
          </a:srgbClr>
        </a:solidFill>
      </cdr:spPr>
      <cdr:txBody>
        <a:bodyPr xmlns:a="http://schemas.openxmlformats.org/drawingml/2006/main" wrap="non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r>
            <a:rPr lang="en-US" sz="1100">
              <a:latin typeface="Calibri"/>
              <a:ea typeface="+mn-ea"/>
              <a:cs typeface="+mn-cs"/>
            </a:rPr>
            <a:t>Southern </a:t>
          </a:r>
          <a:r>
            <a:rPr lang="en-US" sz="1100"/>
            <a:t>Winter</a:t>
          </a:r>
        </a:p>
      </cdr:txBody>
    </cdr:sp>
  </cdr:relSizeAnchor>
  <cdr:relSizeAnchor xmlns:cdr="http://schemas.openxmlformats.org/drawingml/2006/chartDrawing">
    <cdr:from>
      <cdr:x>0.08347</cdr:x>
      <cdr:y>0.08812</cdr:y>
    </cdr:from>
    <cdr:to>
      <cdr:x>0.28472</cdr:x>
      <cdr:y>0.13115</cdr:y>
    </cdr:to>
    <cdr:sp macro="" textlink="">
      <cdr:nvSpPr>
        <cdr:cNvPr id="6" name="TextBox 5"/>
        <cdr:cNvSpPr txBox="1"/>
      </cdr:nvSpPr>
      <cdr:spPr>
        <a:xfrm xmlns:a="http://schemas.openxmlformats.org/drawingml/2006/main">
          <a:off x="721894" y="553129"/>
          <a:ext cx="1740569" cy="270099"/>
        </a:xfrm>
        <a:prstGeom xmlns:a="http://schemas.openxmlformats.org/drawingml/2006/main" prst="rect">
          <a:avLst/>
        </a:prstGeom>
        <a:solidFill xmlns:a="http://schemas.openxmlformats.org/drawingml/2006/main">
          <a:srgbClr val="FFFF99">
            <a:alpha val="58824"/>
          </a:srgbClr>
        </a:solidFill>
      </cdr:spPr>
      <cdr:txBody>
        <a:bodyPr xmlns:a="http://schemas.openxmlformats.org/drawingml/2006/main" wrap="non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r>
            <a:rPr lang="en-US" sz="1100">
              <a:latin typeface="Calibri"/>
              <a:ea typeface="+mn-ea"/>
              <a:cs typeface="+mn-cs"/>
            </a:rPr>
            <a:t>Norther</a:t>
          </a:r>
          <a:r>
            <a:rPr lang="en-US" sz="1100" baseline="0">
              <a:latin typeface="Calibri"/>
              <a:ea typeface="+mn-ea"/>
              <a:cs typeface="+mn-cs"/>
            </a:rPr>
            <a:t>n </a:t>
          </a:r>
          <a:r>
            <a:rPr lang="en-US" sz="1100"/>
            <a:t>Spring</a:t>
          </a:r>
        </a:p>
      </cdr:txBody>
    </cdr:sp>
  </cdr:relSizeAnchor>
  <cdr:relSizeAnchor xmlns:cdr="http://schemas.openxmlformats.org/drawingml/2006/chartDrawing">
    <cdr:from>
      <cdr:x>0.28565</cdr:x>
      <cdr:y>0.08682</cdr:y>
    </cdr:from>
    <cdr:to>
      <cdr:x>0.48736</cdr:x>
      <cdr:y>0.1306</cdr:y>
    </cdr:to>
    <cdr:sp macro="" textlink="">
      <cdr:nvSpPr>
        <cdr:cNvPr id="7" name="TextBox 6"/>
        <cdr:cNvSpPr txBox="1"/>
      </cdr:nvSpPr>
      <cdr:spPr>
        <a:xfrm xmlns:a="http://schemas.openxmlformats.org/drawingml/2006/main">
          <a:off x="2470484" y="544947"/>
          <a:ext cx="1744579" cy="274806"/>
        </a:xfrm>
        <a:prstGeom xmlns:a="http://schemas.openxmlformats.org/drawingml/2006/main" prst="rect">
          <a:avLst/>
        </a:prstGeom>
        <a:solidFill xmlns:a="http://schemas.openxmlformats.org/drawingml/2006/main">
          <a:srgbClr val="92D050">
            <a:alpha val="59000"/>
          </a:srgbClr>
        </a:solidFill>
      </cdr:spPr>
      <cdr:txBody>
        <a:bodyPr xmlns:a="http://schemas.openxmlformats.org/drawingml/2006/main" wrap="non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r>
            <a:rPr lang="en-US" sz="1100">
              <a:latin typeface="Calibri"/>
              <a:ea typeface="+mn-ea"/>
              <a:cs typeface="+mn-cs"/>
            </a:rPr>
            <a:t>Norther</a:t>
          </a:r>
          <a:r>
            <a:rPr lang="en-US" sz="1100" baseline="0">
              <a:latin typeface="Calibri"/>
              <a:ea typeface="+mn-ea"/>
              <a:cs typeface="+mn-cs"/>
            </a:rPr>
            <a:t>n </a:t>
          </a:r>
          <a:r>
            <a:rPr lang="en-US" sz="1100"/>
            <a:t>Summer</a:t>
          </a:r>
        </a:p>
      </cdr:txBody>
    </cdr:sp>
  </cdr:relSizeAnchor>
  <cdr:relSizeAnchor xmlns:cdr="http://schemas.openxmlformats.org/drawingml/2006/chartDrawing">
    <cdr:from>
      <cdr:x>0.48736</cdr:x>
      <cdr:y>0.08682</cdr:y>
    </cdr:from>
    <cdr:to>
      <cdr:x>0.68908</cdr:x>
      <cdr:y>0.1306</cdr:y>
    </cdr:to>
    <cdr:sp macro="" textlink="">
      <cdr:nvSpPr>
        <cdr:cNvPr id="8" name="TextBox 7"/>
        <cdr:cNvSpPr txBox="1"/>
      </cdr:nvSpPr>
      <cdr:spPr>
        <a:xfrm xmlns:a="http://schemas.openxmlformats.org/drawingml/2006/main">
          <a:off x="4215063" y="544947"/>
          <a:ext cx="1744579" cy="274806"/>
        </a:xfrm>
        <a:prstGeom xmlns:a="http://schemas.openxmlformats.org/drawingml/2006/main" prst="rect">
          <a:avLst/>
        </a:prstGeom>
        <a:solidFill xmlns:a="http://schemas.openxmlformats.org/drawingml/2006/main">
          <a:srgbClr val="F79646">
            <a:lumMod val="75000"/>
            <a:alpha val="59000"/>
          </a:srgbClr>
        </a:solidFill>
      </cdr:spPr>
      <cdr:txBody>
        <a:bodyPr xmlns:a="http://schemas.openxmlformats.org/drawingml/2006/main" wrap="non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r>
            <a:rPr lang="en-US" sz="1100"/>
            <a:t>Norther</a:t>
          </a:r>
          <a:r>
            <a:rPr lang="en-US" sz="1100" baseline="0"/>
            <a:t>n </a:t>
          </a:r>
          <a:r>
            <a:rPr lang="en-US" sz="1100"/>
            <a:t>Autumn</a:t>
          </a:r>
        </a:p>
      </cdr:txBody>
    </cdr:sp>
  </cdr:relSizeAnchor>
  <cdr:relSizeAnchor xmlns:cdr="http://schemas.openxmlformats.org/drawingml/2006/chartDrawing">
    <cdr:from>
      <cdr:x>0.68943</cdr:x>
      <cdr:y>0.08682</cdr:y>
    </cdr:from>
    <cdr:to>
      <cdr:x>0.89184</cdr:x>
      <cdr:y>0.1306</cdr:y>
    </cdr:to>
    <cdr:sp macro="" textlink="">
      <cdr:nvSpPr>
        <cdr:cNvPr id="9" name="TextBox 8"/>
        <cdr:cNvSpPr txBox="1"/>
      </cdr:nvSpPr>
      <cdr:spPr>
        <a:xfrm xmlns:a="http://schemas.openxmlformats.org/drawingml/2006/main">
          <a:off x="5962651" y="544947"/>
          <a:ext cx="1750634" cy="274806"/>
        </a:xfrm>
        <a:prstGeom xmlns:a="http://schemas.openxmlformats.org/drawingml/2006/main" prst="rect">
          <a:avLst/>
        </a:prstGeom>
        <a:solidFill xmlns:a="http://schemas.openxmlformats.org/drawingml/2006/main">
          <a:srgbClr val="4F81BD">
            <a:lumMod val="60000"/>
            <a:lumOff val="40000"/>
            <a:alpha val="59000"/>
          </a:srgbClr>
        </a:solidFill>
      </cdr:spPr>
      <cdr:txBody>
        <a:bodyPr xmlns:a="http://schemas.openxmlformats.org/drawingml/2006/main" wrap="non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r>
            <a:rPr lang="en-US" sz="1100">
              <a:latin typeface="Calibri"/>
              <a:ea typeface="+mn-ea"/>
              <a:cs typeface="+mn-cs"/>
            </a:rPr>
            <a:t>Norther</a:t>
          </a:r>
          <a:r>
            <a:rPr lang="en-US" sz="1100" baseline="0">
              <a:latin typeface="Calibri"/>
              <a:ea typeface="+mn-ea"/>
              <a:cs typeface="+mn-cs"/>
            </a:rPr>
            <a:t>n </a:t>
          </a:r>
          <a:r>
            <a:rPr lang="en-US" sz="1100"/>
            <a:t>Winter</a:t>
          </a:r>
        </a:p>
      </cdr:txBody>
    </cdr:sp>
  </cdr:relSizeAnchor>
</c:userShapes>
</file>

<file path=xl/drawings/drawing6.xml><?xml version="1.0" encoding="utf-8"?>
<xdr:wsDr xmlns:xdr="http://schemas.openxmlformats.org/drawingml/2006/spreadsheetDrawing" xmlns:a="http://schemas.openxmlformats.org/drawingml/2006/main">
  <xdr:absoluteAnchor>
    <xdr:pos x="0" y="0"/>
    <xdr:ext cx="8654143" cy="6277429"/>
    <xdr:graphicFrame macro="">
      <xdr:nvGraphicFramePr>
        <xdr:cNvPr id="2" name="Chart 1">
          <a:extLst>
            <a:ext uri="{FF2B5EF4-FFF2-40B4-BE49-F238E27FC236}">
              <a16:creationId xmlns:a16="http://schemas.microsoft.com/office/drawing/2014/main" id="{24A183F8-DE18-49E0-B608-FCE7C0E476E3}"/>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7.xml><?xml version="1.0" encoding="utf-8"?>
<c:userShapes xmlns:c="http://schemas.openxmlformats.org/drawingml/2006/chart">
  <cdr:relSizeAnchor xmlns:cdr="http://schemas.openxmlformats.org/drawingml/2006/chartDrawing">
    <cdr:from>
      <cdr:x>0.79036</cdr:x>
      <cdr:y>0.08671</cdr:y>
    </cdr:from>
    <cdr:to>
      <cdr:x>0.89203</cdr:x>
      <cdr:y>0.87572</cdr:y>
    </cdr:to>
    <cdr:sp macro="" textlink="">
      <cdr:nvSpPr>
        <cdr:cNvPr id="10" name="TextBox 9">
          <a:extLst xmlns:a="http://schemas.openxmlformats.org/drawingml/2006/main">
            <a:ext uri="{FF2B5EF4-FFF2-40B4-BE49-F238E27FC236}">
              <a16:creationId xmlns:a16="http://schemas.microsoft.com/office/drawing/2014/main" id="{CDB2B87B-9196-4D17-9D82-8F421EEEBB5C}"/>
            </a:ext>
          </a:extLst>
        </cdr:cNvPr>
        <cdr:cNvSpPr txBox="1"/>
      </cdr:nvSpPr>
      <cdr:spPr>
        <a:xfrm xmlns:a="http://schemas.openxmlformats.org/drawingml/2006/main">
          <a:off x="6839888" y="544316"/>
          <a:ext cx="879867" cy="4952954"/>
        </a:xfrm>
        <a:prstGeom xmlns:a="http://schemas.openxmlformats.org/drawingml/2006/main" prst="rect">
          <a:avLst/>
        </a:prstGeom>
        <a:solidFill xmlns:a="http://schemas.openxmlformats.org/drawingml/2006/main">
          <a:srgbClr val="FFFF99">
            <a:alpha val="25000"/>
          </a:srgbClr>
        </a:solidFill>
      </cdr:spPr>
      <cdr:txBody>
        <a:bodyPr xmlns:a="http://schemas.openxmlformats.org/drawingml/2006/main" wrap="non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r>
            <a:rPr lang="en-US" sz="1100" b="1">
              <a:latin typeface="Calibri"/>
              <a:ea typeface="+mn-ea"/>
              <a:cs typeface="+mn-cs"/>
            </a:rPr>
            <a:t>Equinox</a:t>
          </a:r>
        </a:p>
        <a:p xmlns:a="http://schemas.openxmlformats.org/drawingml/2006/main">
          <a:pPr algn="ctr"/>
          <a:r>
            <a:rPr lang="en-US" sz="1100" b="1">
              <a:latin typeface="Calibri"/>
              <a:ea typeface="+mn-ea"/>
              <a:cs typeface="+mn-cs"/>
            </a:rPr>
            <a:t>60S to 60N</a:t>
          </a:r>
          <a:endParaRPr lang="en-US" sz="1100" b="1"/>
        </a:p>
      </cdr:txBody>
    </cdr:sp>
  </cdr:relSizeAnchor>
  <cdr:relSizeAnchor xmlns:cdr="http://schemas.openxmlformats.org/drawingml/2006/chartDrawing">
    <cdr:from>
      <cdr:x>0.5888</cdr:x>
      <cdr:y>0.08538</cdr:y>
    </cdr:from>
    <cdr:to>
      <cdr:x>0.79121</cdr:x>
      <cdr:y>0.87428</cdr:y>
    </cdr:to>
    <cdr:sp macro="" textlink="">
      <cdr:nvSpPr>
        <cdr:cNvPr id="9" name="TextBox 8"/>
        <cdr:cNvSpPr txBox="1"/>
      </cdr:nvSpPr>
      <cdr:spPr>
        <a:xfrm xmlns:a="http://schemas.openxmlformats.org/drawingml/2006/main">
          <a:off x="5095559" y="535951"/>
          <a:ext cx="1751685" cy="4952263"/>
        </a:xfrm>
        <a:prstGeom xmlns:a="http://schemas.openxmlformats.org/drawingml/2006/main" prst="rect">
          <a:avLst/>
        </a:prstGeom>
        <a:solidFill xmlns:a="http://schemas.openxmlformats.org/drawingml/2006/main">
          <a:srgbClr val="4F81BD">
            <a:lumMod val="60000"/>
            <a:lumOff val="40000"/>
            <a:alpha val="25000"/>
          </a:srgbClr>
        </a:solidFill>
      </cdr:spPr>
      <cdr:txBody>
        <a:bodyPr xmlns:a="http://schemas.openxmlformats.org/drawingml/2006/main" wrap="non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r>
            <a:rPr lang="en-US" sz="1100" b="1">
              <a:latin typeface="Calibri"/>
              <a:ea typeface="+mn-ea"/>
              <a:cs typeface="+mn-cs"/>
            </a:rPr>
            <a:t>Southern Solstice</a:t>
          </a:r>
        </a:p>
        <a:p xmlns:a="http://schemas.openxmlformats.org/drawingml/2006/main">
          <a:pPr algn="ctr"/>
          <a:r>
            <a:rPr lang="en-US" sz="1100" b="1">
              <a:latin typeface="Calibri"/>
              <a:ea typeface="+mn-ea"/>
              <a:cs typeface="+mn-cs"/>
            </a:rPr>
            <a:t>90S to 30N</a:t>
          </a:r>
          <a:endParaRPr lang="en-US" sz="1100" b="1"/>
        </a:p>
      </cdr:txBody>
    </cdr:sp>
  </cdr:relSizeAnchor>
  <cdr:relSizeAnchor xmlns:cdr="http://schemas.openxmlformats.org/drawingml/2006/chartDrawing">
    <cdr:from>
      <cdr:x>0.38679</cdr:x>
      <cdr:y>0.08671</cdr:y>
    </cdr:from>
    <cdr:to>
      <cdr:x>0.58805</cdr:x>
      <cdr:y>0.87717</cdr:y>
    </cdr:to>
    <cdr:sp macro="" textlink="">
      <cdr:nvSpPr>
        <cdr:cNvPr id="11" name="TextBox 10">
          <a:extLst xmlns:a="http://schemas.openxmlformats.org/drawingml/2006/main">
            <a:ext uri="{FF2B5EF4-FFF2-40B4-BE49-F238E27FC236}">
              <a16:creationId xmlns:a16="http://schemas.microsoft.com/office/drawing/2014/main" id="{1CB38FFD-1EC1-45A4-BF0B-6EFBD14B22A9}"/>
            </a:ext>
          </a:extLst>
        </cdr:cNvPr>
        <cdr:cNvSpPr txBox="1"/>
      </cdr:nvSpPr>
      <cdr:spPr>
        <a:xfrm xmlns:a="http://schemas.openxmlformats.org/drawingml/2006/main">
          <a:off x="3347357" y="544286"/>
          <a:ext cx="1741714" cy="4962071"/>
        </a:xfrm>
        <a:prstGeom xmlns:a="http://schemas.openxmlformats.org/drawingml/2006/main" prst="rect">
          <a:avLst/>
        </a:prstGeom>
        <a:solidFill xmlns:a="http://schemas.openxmlformats.org/drawingml/2006/main">
          <a:srgbClr val="FFFF99">
            <a:alpha val="25000"/>
          </a:srgbClr>
        </a:solidFill>
      </cdr:spPr>
      <cdr:txBody>
        <a:bodyPr xmlns:a="http://schemas.openxmlformats.org/drawingml/2006/main" wrap="non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r>
            <a:rPr lang="en-US" sz="1100" b="1">
              <a:latin typeface="Calibri"/>
              <a:ea typeface="+mn-ea"/>
              <a:cs typeface="+mn-cs"/>
            </a:rPr>
            <a:t>Equinox</a:t>
          </a:r>
        </a:p>
        <a:p xmlns:a="http://schemas.openxmlformats.org/drawingml/2006/main">
          <a:pPr algn="ctr"/>
          <a:r>
            <a:rPr lang="en-US" sz="1100" b="1">
              <a:latin typeface="Calibri"/>
              <a:ea typeface="+mn-ea"/>
              <a:cs typeface="+mn-cs"/>
            </a:rPr>
            <a:t>60S</a:t>
          </a:r>
          <a:r>
            <a:rPr lang="en-US" sz="1100" b="1" baseline="0">
              <a:latin typeface="Calibri"/>
              <a:ea typeface="+mn-ea"/>
              <a:cs typeface="+mn-cs"/>
            </a:rPr>
            <a:t> to 60N</a:t>
          </a:r>
          <a:endParaRPr lang="en-US" sz="1100" b="1"/>
        </a:p>
      </cdr:txBody>
    </cdr:sp>
  </cdr:relSizeAnchor>
  <cdr:relSizeAnchor xmlns:cdr="http://schemas.openxmlformats.org/drawingml/2006/chartDrawing">
    <cdr:from>
      <cdr:x>0.08281</cdr:x>
      <cdr:y>0.08671</cdr:y>
    </cdr:from>
    <cdr:to>
      <cdr:x>0.18449</cdr:x>
      <cdr:y>0.87572</cdr:y>
    </cdr:to>
    <cdr:sp macro="" textlink="">
      <cdr:nvSpPr>
        <cdr:cNvPr id="6" name="TextBox 5"/>
        <cdr:cNvSpPr txBox="1"/>
      </cdr:nvSpPr>
      <cdr:spPr>
        <a:xfrm xmlns:a="http://schemas.openxmlformats.org/drawingml/2006/main">
          <a:off x="716643" y="544286"/>
          <a:ext cx="879930" cy="4953000"/>
        </a:xfrm>
        <a:prstGeom xmlns:a="http://schemas.openxmlformats.org/drawingml/2006/main" prst="rect">
          <a:avLst/>
        </a:prstGeom>
        <a:solidFill xmlns:a="http://schemas.openxmlformats.org/drawingml/2006/main">
          <a:srgbClr val="FFFF99">
            <a:alpha val="25000"/>
          </a:srgbClr>
        </a:solidFill>
      </cdr:spPr>
      <cdr:txBody>
        <a:bodyPr xmlns:a="http://schemas.openxmlformats.org/drawingml/2006/main" wrap="non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r>
            <a:rPr lang="en-US" sz="1100" b="1">
              <a:latin typeface="Calibri"/>
              <a:ea typeface="+mn-ea"/>
              <a:cs typeface="+mn-cs"/>
            </a:rPr>
            <a:t>Equinox</a:t>
          </a:r>
        </a:p>
        <a:p xmlns:a="http://schemas.openxmlformats.org/drawingml/2006/main">
          <a:pPr algn="ctr"/>
          <a:r>
            <a:rPr lang="en-US" sz="1100" b="1">
              <a:latin typeface="Calibri"/>
              <a:ea typeface="+mn-ea"/>
              <a:cs typeface="+mn-cs"/>
            </a:rPr>
            <a:t>60S to 60N</a:t>
          </a:r>
          <a:endParaRPr lang="en-US" sz="1100" b="1"/>
        </a:p>
      </cdr:txBody>
    </cdr:sp>
  </cdr:relSizeAnchor>
  <cdr:relSizeAnchor xmlns:cdr="http://schemas.openxmlformats.org/drawingml/2006/chartDrawing">
    <cdr:from>
      <cdr:x>0.18397</cdr:x>
      <cdr:y>0.08682</cdr:y>
    </cdr:from>
    <cdr:to>
      <cdr:x>0.38568</cdr:x>
      <cdr:y>0.87717</cdr:y>
    </cdr:to>
    <cdr:sp macro="" textlink="">
      <cdr:nvSpPr>
        <cdr:cNvPr id="7" name="TextBox 6"/>
        <cdr:cNvSpPr txBox="1"/>
      </cdr:nvSpPr>
      <cdr:spPr>
        <a:xfrm xmlns:a="http://schemas.openxmlformats.org/drawingml/2006/main">
          <a:off x="1592127" y="545005"/>
          <a:ext cx="1745627" cy="4961351"/>
        </a:xfrm>
        <a:prstGeom xmlns:a="http://schemas.openxmlformats.org/drawingml/2006/main" prst="rect">
          <a:avLst/>
        </a:prstGeom>
        <a:solidFill xmlns:a="http://schemas.openxmlformats.org/drawingml/2006/main">
          <a:srgbClr val="92D050">
            <a:alpha val="25000"/>
          </a:srgbClr>
        </a:solidFill>
      </cdr:spPr>
      <cdr:txBody>
        <a:bodyPr xmlns:a="http://schemas.openxmlformats.org/drawingml/2006/main" wrap="non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r>
            <a:rPr lang="en-US" sz="1100" b="1">
              <a:latin typeface="Calibri"/>
              <a:ea typeface="+mn-ea"/>
              <a:cs typeface="+mn-cs"/>
            </a:rPr>
            <a:t>Norther</a:t>
          </a:r>
          <a:r>
            <a:rPr lang="en-US" sz="1100" b="1" baseline="0">
              <a:latin typeface="Calibri"/>
              <a:ea typeface="+mn-ea"/>
              <a:cs typeface="+mn-cs"/>
            </a:rPr>
            <a:t>n </a:t>
          </a:r>
          <a:r>
            <a:rPr lang="en-US" sz="1100" b="1"/>
            <a:t>Solstice</a:t>
          </a:r>
        </a:p>
        <a:p xmlns:a="http://schemas.openxmlformats.org/drawingml/2006/main">
          <a:pPr algn="ctr"/>
          <a:r>
            <a:rPr lang="en-US" sz="1100" b="1"/>
            <a:t>30S to 90N</a:t>
          </a:r>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25"/>
  <sheetViews>
    <sheetView workbookViewId="0">
      <pane ySplit="25" topLeftCell="A125" activePane="bottomLeft" state="frozenSplit"/>
      <selection pane="bottomLeft" activeCell="B119" sqref="B119"/>
    </sheetView>
  </sheetViews>
  <sheetFormatPr defaultRowHeight="12.5" x14ac:dyDescent="0.25"/>
  <cols>
    <col min="1" max="1" width="16.54296875" customWidth="1"/>
  </cols>
  <sheetData>
    <row r="1" spans="1:4" x14ac:dyDescent="0.25">
      <c r="B1" t="s">
        <v>12</v>
      </c>
      <c r="C1" t="s">
        <v>13</v>
      </c>
      <c r="D1" t="s">
        <v>14</v>
      </c>
    </row>
    <row r="2" spans="1:4" x14ac:dyDescent="0.25">
      <c r="A2" t="s">
        <v>150</v>
      </c>
      <c r="B2">
        <v>0</v>
      </c>
      <c r="C2">
        <v>0</v>
      </c>
      <c r="D2">
        <f>SUM(B2:C2)</f>
        <v>0</v>
      </c>
    </row>
    <row r="3" spans="1:4" x14ac:dyDescent="0.25">
      <c r="A3" t="s">
        <v>151</v>
      </c>
      <c r="B3">
        <v>0</v>
      </c>
      <c r="C3">
        <v>0</v>
      </c>
      <c r="D3">
        <f>SUM(B3:C3)</f>
        <v>0</v>
      </c>
    </row>
    <row r="4" spans="1:4" x14ac:dyDescent="0.25">
      <c r="A4" t="s">
        <v>152</v>
      </c>
      <c r="B4">
        <v>0</v>
      </c>
      <c r="C4">
        <v>0</v>
      </c>
      <c r="D4">
        <f>SUM(B4:C4)</f>
        <v>0</v>
      </c>
    </row>
    <row r="5" spans="1:4" x14ac:dyDescent="0.25">
      <c r="A5" t="s">
        <v>15</v>
      </c>
      <c r="B5">
        <v>0</v>
      </c>
      <c r="C5">
        <v>0</v>
      </c>
      <c r="D5">
        <f t="shared" ref="D5:D68" si="0">SUM(B5:C5)</f>
        <v>0</v>
      </c>
    </row>
    <row r="6" spans="1:4" x14ac:dyDescent="0.25">
      <c r="A6" t="s">
        <v>17</v>
      </c>
      <c r="B6">
        <v>0</v>
      </c>
      <c r="C6">
        <v>0</v>
      </c>
      <c r="D6">
        <f t="shared" si="0"/>
        <v>0</v>
      </c>
    </row>
    <row r="7" spans="1:4" x14ac:dyDescent="0.25">
      <c r="A7" t="s">
        <v>18</v>
      </c>
      <c r="B7">
        <v>0</v>
      </c>
      <c r="C7">
        <v>0</v>
      </c>
      <c r="D7">
        <f t="shared" si="0"/>
        <v>0</v>
      </c>
    </row>
    <row r="8" spans="1:4" x14ac:dyDescent="0.25">
      <c r="A8" t="s">
        <v>19</v>
      </c>
      <c r="B8">
        <v>0</v>
      </c>
      <c r="C8">
        <v>0</v>
      </c>
      <c r="D8">
        <f t="shared" si="0"/>
        <v>0</v>
      </c>
    </row>
    <row r="9" spans="1:4" x14ac:dyDescent="0.25">
      <c r="A9" t="s">
        <v>16</v>
      </c>
      <c r="B9">
        <v>0</v>
      </c>
      <c r="C9">
        <v>0</v>
      </c>
      <c r="D9">
        <f t="shared" si="0"/>
        <v>0</v>
      </c>
    </row>
    <row r="10" spans="1:4" x14ac:dyDescent="0.25">
      <c r="A10" t="s">
        <v>21</v>
      </c>
      <c r="B10">
        <v>0</v>
      </c>
      <c r="C10">
        <v>0</v>
      </c>
      <c r="D10">
        <f t="shared" si="0"/>
        <v>0</v>
      </c>
    </row>
    <row r="11" spans="1:4" x14ac:dyDescent="0.25">
      <c r="A11" t="s">
        <v>22</v>
      </c>
      <c r="B11">
        <v>0</v>
      </c>
      <c r="C11">
        <v>0</v>
      </c>
      <c r="D11">
        <f t="shared" si="0"/>
        <v>0</v>
      </c>
    </row>
    <row r="12" spans="1:4" x14ac:dyDescent="0.25">
      <c r="A12" t="s">
        <v>23</v>
      </c>
      <c r="B12">
        <v>0</v>
      </c>
      <c r="C12">
        <v>0</v>
      </c>
      <c r="D12">
        <f t="shared" si="0"/>
        <v>0</v>
      </c>
    </row>
    <row r="13" spans="1:4" x14ac:dyDescent="0.25">
      <c r="A13" t="s">
        <v>20</v>
      </c>
      <c r="B13">
        <v>0</v>
      </c>
      <c r="C13">
        <v>0</v>
      </c>
      <c r="D13">
        <f t="shared" si="0"/>
        <v>0</v>
      </c>
    </row>
    <row r="14" spans="1:4" x14ac:dyDescent="0.25">
      <c r="A14" t="s">
        <v>25</v>
      </c>
      <c r="B14">
        <v>0</v>
      </c>
      <c r="C14">
        <v>0</v>
      </c>
      <c r="D14">
        <f t="shared" si="0"/>
        <v>0</v>
      </c>
    </row>
    <row r="15" spans="1:4" x14ac:dyDescent="0.25">
      <c r="A15" t="s">
        <v>26</v>
      </c>
      <c r="B15">
        <v>0</v>
      </c>
      <c r="C15">
        <v>0</v>
      </c>
      <c r="D15">
        <f t="shared" si="0"/>
        <v>0</v>
      </c>
    </row>
    <row r="16" spans="1:4" x14ac:dyDescent="0.25">
      <c r="A16" t="s">
        <v>27</v>
      </c>
      <c r="B16">
        <v>0</v>
      </c>
      <c r="C16">
        <v>0</v>
      </c>
      <c r="D16">
        <f t="shared" si="0"/>
        <v>0</v>
      </c>
    </row>
    <row r="17" spans="1:4" x14ac:dyDescent="0.25">
      <c r="A17" t="s">
        <v>24</v>
      </c>
      <c r="B17">
        <v>0</v>
      </c>
      <c r="C17">
        <v>0</v>
      </c>
      <c r="D17">
        <f t="shared" si="0"/>
        <v>0</v>
      </c>
    </row>
    <row r="18" spans="1:4" x14ac:dyDescent="0.25">
      <c r="A18" t="s">
        <v>29</v>
      </c>
      <c r="B18">
        <v>0</v>
      </c>
      <c r="C18">
        <v>0</v>
      </c>
      <c r="D18">
        <f t="shared" si="0"/>
        <v>0</v>
      </c>
    </row>
    <row r="19" spans="1:4" x14ac:dyDescent="0.25">
      <c r="A19" t="s">
        <v>30</v>
      </c>
      <c r="B19">
        <v>0</v>
      </c>
      <c r="C19">
        <v>0</v>
      </c>
      <c r="D19">
        <f t="shared" si="0"/>
        <v>0</v>
      </c>
    </row>
    <row r="20" spans="1:4" x14ac:dyDescent="0.25">
      <c r="A20" t="s">
        <v>31</v>
      </c>
      <c r="B20">
        <v>0</v>
      </c>
      <c r="C20">
        <v>0</v>
      </c>
      <c r="D20">
        <f t="shared" si="0"/>
        <v>0</v>
      </c>
    </row>
    <row r="21" spans="1:4" x14ac:dyDescent="0.25">
      <c r="A21" t="s">
        <v>28</v>
      </c>
      <c r="B21">
        <v>0</v>
      </c>
      <c r="C21">
        <v>0</v>
      </c>
      <c r="D21">
        <f t="shared" si="0"/>
        <v>0</v>
      </c>
    </row>
    <row r="22" spans="1:4" x14ac:dyDescent="0.25">
      <c r="A22" t="s">
        <v>32</v>
      </c>
      <c r="B22">
        <v>0</v>
      </c>
      <c r="C22">
        <v>0</v>
      </c>
      <c r="D22">
        <f t="shared" si="0"/>
        <v>0</v>
      </c>
    </row>
    <row r="23" spans="1:4" x14ac:dyDescent="0.25">
      <c r="A23" t="s">
        <v>33</v>
      </c>
      <c r="B23">
        <v>0</v>
      </c>
      <c r="C23">
        <v>0</v>
      </c>
      <c r="D23">
        <f t="shared" si="0"/>
        <v>0</v>
      </c>
    </row>
    <row r="24" spans="1:4" x14ac:dyDescent="0.25">
      <c r="A24" t="s">
        <v>34</v>
      </c>
      <c r="B24">
        <v>0</v>
      </c>
      <c r="C24">
        <v>0</v>
      </c>
      <c r="D24">
        <f t="shared" si="0"/>
        <v>0</v>
      </c>
    </row>
    <row r="25" spans="1:4" x14ac:dyDescent="0.25">
      <c r="A25" t="s">
        <v>35</v>
      </c>
      <c r="B25">
        <v>0</v>
      </c>
      <c r="C25">
        <v>0</v>
      </c>
      <c r="D25">
        <f t="shared" si="0"/>
        <v>0</v>
      </c>
    </row>
    <row r="26" spans="1:4" x14ac:dyDescent="0.25">
      <c r="A26" t="s">
        <v>36</v>
      </c>
      <c r="B26">
        <v>0</v>
      </c>
      <c r="C26">
        <v>0</v>
      </c>
      <c r="D26">
        <f t="shared" si="0"/>
        <v>0</v>
      </c>
    </row>
    <row r="27" spans="1:4" x14ac:dyDescent="0.25">
      <c r="A27" t="s">
        <v>37</v>
      </c>
      <c r="B27">
        <v>0</v>
      </c>
      <c r="C27">
        <v>0</v>
      </c>
      <c r="D27">
        <f t="shared" si="0"/>
        <v>0</v>
      </c>
    </row>
    <row r="28" spans="1:4" x14ac:dyDescent="0.25">
      <c r="A28" t="s">
        <v>38</v>
      </c>
      <c r="B28">
        <v>0</v>
      </c>
      <c r="C28">
        <v>0</v>
      </c>
      <c r="D28">
        <f t="shared" si="0"/>
        <v>0</v>
      </c>
    </row>
    <row r="29" spans="1:4" x14ac:dyDescent="0.25">
      <c r="A29" t="s">
        <v>39</v>
      </c>
      <c r="B29">
        <v>0</v>
      </c>
      <c r="C29">
        <v>0</v>
      </c>
      <c r="D29">
        <f t="shared" si="0"/>
        <v>0</v>
      </c>
    </row>
    <row r="30" spans="1:4" x14ac:dyDescent="0.25">
      <c r="A30" t="s">
        <v>40</v>
      </c>
      <c r="B30">
        <v>0</v>
      </c>
      <c r="C30">
        <v>0</v>
      </c>
      <c r="D30">
        <f t="shared" si="0"/>
        <v>0</v>
      </c>
    </row>
    <row r="31" spans="1:4" x14ac:dyDescent="0.25">
      <c r="A31" t="s">
        <v>41</v>
      </c>
      <c r="B31">
        <v>0</v>
      </c>
      <c r="C31">
        <v>0</v>
      </c>
      <c r="D31">
        <f t="shared" si="0"/>
        <v>0</v>
      </c>
    </row>
    <row r="32" spans="1:4" x14ac:dyDescent="0.25">
      <c r="A32" t="s">
        <v>42</v>
      </c>
      <c r="B32">
        <v>0</v>
      </c>
      <c r="C32">
        <v>0</v>
      </c>
      <c r="D32">
        <f t="shared" si="0"/>
        <v>0</v>
      </c>
    </row>
    <row r="33" spans="1:4" x14ac:dyDescent="0.25">
      <c r="A33" t="s">
        <v>43</v>
      </c>
      <c r="B33">
        <v>0</v>
      </c>
      <c r="C33">
        <v>0</v>
      </c>
      <c r="D33">
        <f t="shared" si="0"/>
        <v>0</v>
      </c>
    </row>
    <row r="34" spans="1:4" x14ac:dyDescent="0.25">
      <c r="A34" t="s">
        <v>44</v>
      </c>
      <c r="B34">
        <v>0</v>
      </c>
      <c r="C34">
        <v>0</v>
      </c>
      <c r="D34">
        <f t="shared" si="0"/>
        <v>0</v>
      </c>
    </row>
    <row r="35" spans="1:4" x14ac:dyDescent="0.25">
      <c r="A35" t="s">
        <v>45</v>
      </c>
      <c r="B35">
        <v>0</v>
      </c>
      <c r="C35">
        <v>0</v>
      </c>
      <c r="D35">
        <f t="shared" si="0"/>
        <v>0</v>
      </c>
    </row>
    <row r="36" spans="1:4" x14ac:dyDescent="0.25">
      <c r="A36" t="s">
        <v>46</v>
      </c>
      <c r="B36">
        <v>0</v>
      </c>
      <c r="C36">
        <v>0</v>
      </c>
      <c r="D36">
        <f t="shared" si="0"/>
        <v>0</v>
      </c>
    </row>
    <row r="37" spans="1:4" x14ac:dyDescent="0.25">
      <c r="A37" t="s">
        <v>47</v>
      </c>
      <c r="B37">
        <v>0</v>
      </c>
      <c r="C37">
        <v>0</v>
      </c>
      <c r="D37">
        <f t="shared" si="0"/>
        <v>0</v>
      </c>
    </row>
    <row r="38" spans="1:4" x14ac:dyDescent="0.25">
      <c r="A38" t="s">
        <v>48</v>
      </c>
      <c r="B38">
        <v>0</v>
      </c>
      <c r="C38">
        <v>0</v>
      </c>
      <c r="D38">
        <f t="shared" si="0"/>
        <v>0</v>
      </c>
    </row>
    <row r="39" spans="1:4" x14ac:dyDescent="0.25">
      <c r="A39" t="s">
        <v>49</v>
      </c>
      <c r="B39">
        <v>0</v>
      </c>
      <c r="C39">
        <v>0</v>
      </c>
      <c r="D39">
        <f t="shared" si="0"/>
        <v>0</v>
      </c>
    </row>
    <row r="40" spans="1:4" x14ac:dyDescent="0.25">
      <c r="A40" t="s">
        <v>50</v>
      </c>
      <c r="B40">
        <v>0</v>
      </c>
      <c r="C40">
        <v>0</v>
      </c>
      <c r="D40">
        <f t="shared" si="0"/>
        <v>0</v>
      </c>
    </row>
    <row r="41" spans="1:4" x14ac:dyDescent="0.25">
      <c r="A41" t="s">
        <v>51</v>
      </c>
      <c r="B41">
        <v>0</v>
      </c>
      <c r="C41">
        <v>0</v>
      </c>
      <c r="D41">
        <f t="shared" si="0"/>
        <v>0</v>
      </c>
    </row>
    <row r="42" spans="1:4" x14ac:dyDescent="0.25">
      <c r="A42" t="s">
        <v>52</v>
      </c>
      <c r="B42">
        <v>0</v>
      </c>
      <c r="C42">
        <v>0</v>
      </c>
      <c r="D42">
        <f t="shared" si="0"/>
        <v>0</v>
      </c>
    </row>
    <row r="43" spans="1:4" x14ac:dyDescent="0.25">
      <c r="A43" t="s">
        <v>53</v>
      </c>
      <c r="B43">
        <v>0</v>
      </c>
      <c r="C43">
        <v>0</v>
      </c>
      <c r="D43">
        <f t="shared" si="0"/>
        <v>0</v>
      </c>
    </row>
    <row r="44" spans="1:4" x14ac:dyDescent="0.25">
      <c r="A44" t="s">
        <v>54</v>
      </c>
      <c r="B44">
        <v>0</v>
      </c>
      <c r="C44">
        <v>0</v>
      </c>
      <c r="D44">
        <f t="shared" si="0"/>
        <v>0</v>
      </c>
    </row>
    <row r="45" spans="1:4" x14ac:dyDescent="0.25">
      <c r="A45" t="s">
        <v>55</v>
      </c>
      <c r="B45">
        <v>0</v>
      </c>
      <c r="C45">
        <v>0</v>
      </c>
      <c r="D45">
        <f t="shared" si="0"/>
        <v>0</v>
      </c>
    </row>
    <row r="46" spans="1:4" x14ac:dyDescent="0.25">
      <c r="A46" t="s">
        <v>56</v>
      </c>
      <c r="B46">
        <v>0</v>
      </c>
      <c r="C46">
        <v>0</v>
      </c>
      <c r="D46">
        <f t="shared" si="0"/>
        <v>0</v>
      </c>
    </row>
    <row r="47" spans="1:4" x14ac:dyDescent="0.25">
      <c r="A47" t="s">
        <v>57</v>
      </c>
      <c r="B47">
        <v>0</v>
      </c>
      <c r="C47">
        <v>0</v>
      </c>
      <c r="D47">
        <f t="shared" si="0"/>
        <v>0</v>
      </c>
    </row>
    <row r="48" spans="1:4" x14ac:dyDescent="0.25">
      <c r="A48" t="s">
        <v>58</v>
      </c>
      <c r="B48">
        <v>0</v>
      </c>
      <c r="C48">
        <v>0</v>
      </c>
      <c r="D48">
        <f t="shared" si="0"/>
        <v>0</v>
      </c>
    </row>
    <row r="49" spans="1:4" x14ac:dyDescent="0.25">
      <c r="A49" t="s">
        <v>59</v>
      </c>
      <c r="B49">
        <v>0</v>
      </c>
      <c r="C49">
        <v>0</v>
      </c>
      <c r="D49">
        <f t="shared" si="0"/>
        <v>0</v>
      </c>
    </row>
    <row r="50" spans="1:4" x14ac:dyDescent="0.25">
      <c r="A50" t="s">
        <v>60</v>
      </c>
      <c r="B50">
        <v>0</v>
      </c>
      <c r="C50">
        <v>0</v>
      </c>
      <c r="D50">
        <f t="shared" si="0"/>
        <v>0</v>
      </c>
    </row>
    <row r="51" spans="1:4" x14ac:dyDescent="0.25">
      <c r="A51" t="s">
        <v>61</v>
      </c>
      <c r="B51">
        <v>0</v>
      </c>
      <c r="C51">
        <v>0</v>
      </c>
      <c r="D51">
        <f t="shared" si="0"/>
        <v>0</v>
      </c>
    </row>
    <row r="52" spans="1:4" x14ac:dyDescent="0.25">
      <c r="A52" t="s">
        <v>62</v>
      </c>
      <c r="B52">
        <v>0</v>
      </c>
      <c r="C52">
        <v>0</v>
      </c>
      <c r="D52">
        <f t="shared" si="0"/>
        <v>0</v>
      </c>
    </row>
    <row r="53" spans="1:4" x14ac:dyDescent="0.25">
      <c r="A53" t="s">
        <v>63</v>
      </c>
      <c r="B53">
        <v>0</v>
      </c>
      <c r="C53">
        <v>0</v>
      </c>
      <c r="D53">
        <f t="shared" si="0"/>
        <v>0</v>
      </c>
    </row>
    <row r="54" spans="1:4" x14ac:dyDescent="0.25">
      <c r="A54" t="s">
        <v>64</v>
      </c>
      <c r="B54">
        <v>0</v>
      </c>
      <c r="C54">
        <v>0</v>
      </c>
      <c r="D54">
        <f t="shared" si="0"/>
        <v>0</v>
      </c>
    </row>
    <row r="55" spans="1:4" x14ac:dyDescent="0.25">
      <c r="A55" t="s">
        <v>65</v>
      </c>
      <c r="B55">
        <v>0</v>
      </c>
      <c r="C55">
        <v>0</v>
      </c>
      <c r="D55">
        <f t="shared" si="0"/>
        <v>0</v>
      </c>
    </row>
    <row r="56" spans="1:4" x14ac:dyDescent="0.25">
      <c r="A56" t="s">
        <v>66</v>
      </c>
      <c r="B56">
        <v>0</v>
      </c>
      <c r="C56">
        <v>0</v>
      </c>
      <c r="D56">
        <f t="shared" si="0"/>
        <v>0</v>
      </c>
    </row>
    <row r="57" spans="1:4" x14ac:dyDescent="0.25">
      <c r="A57" t="s">
        <v>67</v>
      </c>
      <c r="B57">
        <v>0</v>
      </c>
      <c r="C57">
        <v>0</v>
      </c>
      <c r="D57">
        <f t="shared" si="0"/>
        <v>0</v>
      </c>
    </row>
    <row r="58" spans="1:4" x14ac:dyDescent="0.25">
      <c r="A58" t="s">
        <v>68</v>
      </c>
      <c r="B58">
        <v>0</v>
      </c>
      <c r="C58">
        <v>0</v>
      </c>
      <c r="D58">
        <f t="shared" si="0"/>
        <v>0</v>
      </c>
    </row>
    <row r="59" spans="1:4" x14ac:dyDescent="0.25">
      <c r="A59" t="s">
        <v>69</v>
      </c>
      <c r="B59">
        <v>0</v>
      </c>
      <c r="C59">
        <v>0</v>
      </c>
      <c r="D59">
        <f t="shared" si="0"/>
        <v>0</v>
      </c>
    </row>
    <row r="60" spans="1:4" x14ac:dyDescent="0.25">
      <c r="A60" t="s">
        <v>70</v>
      </c>
      <c r="B60">
        <v>0</v>
      </c>
      <c r="C60">
        <v>0</v>
      </c>
      <c r="D60">
        <f t="shared" si="0"/>
        <v>0</v>
      </c>
    </row>
    <row r="61" spans="1:4" x14ac:dyDescent="0.25">
      <c r="A61" t="s">
        <v>71</v>
      </c>
      <c r="B61">
        <v>0</v>
      </c>
      <c r="C61">
        <v>0</v>
      </c>
      <c r="D61">
        <f t="shared" si="0"/>
        <v>0</v>
      </c>
    </row>
    <row r="62" spans="1:4" x14ac:dyDescent="0.25">
      <c r="A62" t="s">
        <v>72</v>
      </c>
      <c r="B62">
        <v>0</v>
      </c>
      <c r="C62">
        <v>0</v>
      </c>
      <c r="D62">
        <f t="shared" si="0"/>
        <v>0</v>
      </c>
    </row>
    <row r="63" spans="1:4" x14ac:dyDescent="0.25">
      <c r="A63" t="s">
        <v>73</v>
      </c>
      <c r="B63">
        <v>0</v>
      </c>
      <c r="C63">
        <v>0</v>
      </c>
      <c r="D63">
        <f t="shared" si="0"/>
        <v>0</v>
      </c>
    </row>
    <row r="64" spans="1:4" x14ac:dyDescent="0.25">
      <c r="A64" t="s">
        <v>74</v>
      </c>
      <c r="B64">
        <v>0</v>
      </c>
      <c r="C64">
        <v>0</v>
      </c>
      <c r="D64">
        <f t="shared" si="0"/>
        <v>0</v>
      </c>
    </row>
    <row r="65" spans="1:4" x14ac:dyDescent="0.25">
      <c r="A65" t="s">
        <v>75</v>
      </c>
      <c r="B65">
        <v>0</v>
      </c>
      <c r="C65">
        <v>0</v>
      </c>
      <c r="D65">
        <f t="shared" si="0"/>
        <v>0</v>
      </c>
    </row>
    <row r="66" spans="1:4" x14ac:dyDescent="0.25">
      <c r="A66" t="s">
        <v>76</v>
      </c>
      <c r="B66">
        <v>0</v>
      </c>
      <c r="C66">
        <v>0</v>
      </c>
      <c r="D66">
        <f t="shared" si="0"/>
        <v>0</v>
      </c>
    </row>
    <row r="67" spans="1:4" x14ac:dyDescent="0.25">
      <c r="A67" t="s">
        <v>77</v>
      </c>
      <c r="B67">
        <v>0</v>
      </c>
      <c r="C67">
        <v>0</v>
      </c>
      <c r="D67">
        <f t="shared" si="0"/>
        <v>0</v>
      </c>
    </row>
    <row r="68" spans="1:4" x14ac:dyDescent="0.25">
      <c r="A68" t="s">
        <v>78</v>
      </c>
      <c r="B68">
        <v>0</v>
      </c>
      <c r="C68">
        <v>0</v>
      </c>
      <c r="D68">
        <f t="shared" si="0"/>
        <v>0</v>
      </c>
    </row>
    <row r="69" spans="1:4" x14ac:dyDescent="0.25">
      <c r="A69" t="s">
        <v>79</v>
      </c>
      <c r="B69">
        <v>0</v>
      </c>
      <c r="C69">
        <v>0</v>
      </c>
      <c r="D69">
        <f t="shared" ref="D69:D111" si="1">SUM(B69:C69)</f>
        <v>0</v>
      </c>
    </row>
    <row r="70" spans="1:4" x14ac:dyDescent="0.25">
      <c r="A70" t="s">
        <v>80</v>
      </c>
      <c r="B70">
        <v>0</v>
      </c>
      <c r="C70">
        <v>0</v>
      </c>
      <c r="D70">
        <f t="shared" si="1"/>
        <v>0</v>
      </c>
    </row>
    <row r="71" spans="1:4" x14ac:dyDescent="0.25">
      <c r="A71" t="s">
        <v>81</v>
      </c>
      <c r="B71">
        <v>0</v>
      </c>
      <c r="C71">
        <v>0</v>
      </c>
      <c r="D71">
        <f t="shared" si="1"/>
        <v>0</v>
      </c>
    </row>
    <row r="72" spans="1:4" x14ac:dyDescent="0.25">
      <c r="A72" t="s">
        <v>82</v>
      </c>
      <c r="B72">
        <v>0</v>
      </c>
      <c r="C72">
        <v>0</v>
      </c>
      <c r="D72">
        <f t="shared" si="1"/>
        <v>0</v>
      </c>
    </row>
    <row r="73" spans="1:4" x14ac:dyDescent="0.25">
      <c r="A73" t="s">
        <v>83</v>
      </c>
      <c r="B73">
        <v>0</v>
      </c>
      <c r="C73">
        <v>0</v>
      </c>
      <c r="D73">
        <f t="shared" si="1"/>
        <v>0</v>
      </c>
    </row>
    <row r="74" spans="1:4" x14ac:dyDescent="0.25">
      <c r="A74" t="s">
        <v>84</v>
      </c>
      <c r="B74">
        <v>0</v>
      </c>
      <c r="C74">
        <v>0</v>
      </c>
      <c r="D74">
        <f t="shared" si="1"/>
        <v>0</v>
      </c>
    </row>
    <row r="75" spans="1:4" x14ac:dyDescent="0.25">
      <c r="A75" t="s">
        <v>85</v>
      </c>
      <c r="B75">
        <v>0</v>
      </c>
      <c r="C75">
        <v>0</v>
      </c>
      <c r="D75">
        <f t="shared" si="1"/>
        <v>0</v>
      </c>
    </row>
    <row r="76" spans="1:4" x14ac:dyDescent="0.25">
      <c r="A76" t="s">
        <v>86</v>
      </c>
      <c r="B76">
        <v>0</v>
      </c>
      <c r="C76">
        <v>0</v>
      </c>
      <c r="D76">
        <f t="shared" si="1"/>
        <v>0</v>
      </c>
    </row>
    <row r="77" spans="1:4" x14ac:dyDescent="0.25">
      <c r="A77" t="s">
        <v>87</v>
      </c>
      <c r="B77">
        <v>0</v>
      </c>
      <c r="C77">
        <v>0</v>
      </c>
      <c r="D77">
        <f t="shared" si="1"/>
        <v>0</v>
      </c>
    </row>
    <row r="78" spans="1:4" x14ac:dyDescent="0.25">
      <c r="A78" t="s">
        <v>88</v>
      </c>
      <c r="B78">
        <v>0</v>
      </c>
      <c r="C78">
        <v>0</v>
      </c>
      <c r="D78">
        <f t="shared" si="1"/>
        <v>0</v>
      </c>
    </row>
    <row r="79" spans="1:4" x14ac:dyDescent="0.25">
      <c r="A79" t="s">
        <v>89</v>
      </c>
      <c r="B79">
        <v>0</v>
      </c>
      <c r="C79">
        <v>0</v>
      </c>
      <c r="D79">
        <f t="shared" si="1"/>
        <v>0</v>
      </c>
    </row>
    <row r="80" spans="1:4" x14ac:dyDescent="0.25">
      <c r="A80" t="s">
        <v>90</v>
      </c>
      <c r="B80">
        <v>0</v>
      </c>
      <c r="C80">
        <v>0</v>
      </c>
      <c r="D80">
        <f t="shared" si="1"/>
        <v>0</v>
      </c>
    </row>
    <row r="81" spans="1:4" x14ac:dyDescent="0.25">
      <c r="A81" t="s">
        <v>91</v>
      </c>
      <c r="B81">
        <v>0</v>
      </c>
      <c r="C81">
        <v>0</v>
      </c>
      <c r="D81">
        <f t="shared" si="1"/>
        <v>0</v>
      </c>
    </row>
    <row r="82" spans="1:4" x14ac:dyDescent="0.25">
      <c r="A82" t="s">
        <v>92</v>
      </c>
      <c r="B82">
        <v>0</v>
      </c>
      <c r="C82">
        <v>0</v>
      </c>
      <c r="D82">
        <f t="shared" si="1"/>
        <v>0</v>
      </c>
    </row>
    <row r="83" spans="1:4" x14ac:dyDescent="0.25">
      <c r="A83" t="s">
        <v>93</v>
      </c>
      <c r="B83">
        <v>0</v>
      </c>
      <c r="C83">
        <v>0</v>
      </c>
      <c r="D83">
        <f t="shared" si="1"/>
        <v>0</v>
      </c>
    </row>
    <row r="84" spans="1:4" x14ac:dyDescent="0.25">
      <c r="A84" t="s">
        <v>94</v>
      </c>
      <c r="B84">
        <v>0</v>
      </c>
      <c r="C84">
        <v>0</v>
      </c>
      <c r="D84">
        <f t="shared" si="1"/>
        <v>0</v>
      </c>
    </row>
    <row r="85" spans="1:4" x14ac:dyDescent="0.25">
      <c r="A85" t="s">
        <v>95</v>
      </c>
      <c r="B85">
        <v>0</v>
      </c>
      <c r="C85">
        <v>0</v>
      </c>
      <c r="D85">
        <f t="shared" si="1"/>
        <v>0</v>
      </c>
    </row>
    <row r="86" spans="1:4" x14ac:dyDescent="0.25">
      <c r="A86" t="s">
        <v>96</v>
      </c>
      <c r="B86">
        <v>0</v>
      </c>
      <c r="C86">
        <v>0</v>
      </c>
      <c r="D86">
        <f t="shared" si="1"/>
        <v>0</v>
      </c>
    </row>
    <row r="87" spans="1:4" x14ac:dyDescent="0.25">
      <c r="A87" t="s">
        <v>97</v>
      </c>
      <c r="B87">
        <v>0</v>
      </c>
      <c r="C87">
        <v>0</v>
      </c>
      <c r="D87">
        <f t="shared" si="1"/>
        <v>0</v>
      </c>
    </row>
    <row r="88" spans="1:4" x14ac:dyDescent="0.25">
      <c r="A88" t="s">
        <v>98</v>
      </c>
      <c r="B88">
        <v>0</v>
      </c>
      <c r="C88">
        <v>0</v>
      </c>
      <c r="D88">
        <f t="shared" si="1"/>
        <v>0</v>
      </c>
    </row>
    <row r="89" spans="1:4" x14ac:dyDescent="0.25">
      <c r="A89" t="s">
        <v>99</v>
      </c>
      <c r="B89">
        <v>0</v>
      </c>
      <c r="C89">
        <v>0</v>
      </c>
      <c r="D89">
        <f t="shared" si="1"/>
        <v>0</v>
      </c>
    </row>
    <row r="90" spans="1:4" x14ac:dyDescent="0.25">
      <c r="A90" t="s">
        <v>100</v>
      </c>
      <c r="B90">
        <v>0</v>
      </c>
      <c r="C90">
        <v>0</v>
      </c>
      <c r="D90">
        <f t="shared" si="1"/>
        <v>0</v>
      </c>
    </row>
    <row r="91" spans="1:4" x14ac:dyDescent="0.25">
      <c r="A91" t="s">
        <v>101</v>
      </c>
      <c r="B91">
        <v>0</v>
      </c>
      <c r="C91">
        <v>0</v>
      </c>
      <c r="D91">
        <f t="shared" si="1"/>
        <v>0</v>
      </c>
    </row>
    <row r="92" spans="1:4" x14ac:dyDescent="0.25">
      <c r="A92" t="s">
        <v>102</v>
      </c>
      <c r="B92">
        <v>0</v>
      </c>
      <c r="C92">
        <v>0</v>
      </c>
      <c r="D92">
        <f t="shared" si="1"/>
        <v>0</v>
      </c>
    </row>
    <row r="93" spans="1:4" x14ac:dyDescent="0.25">
      <c r="A93" t="s">
        <v>103</v>
      </c>
      <c r="B93">
        <v>0</v>
      </c>
      <c r="C93">
        <v>0</v>
      </c>
      <c r="D93">
        <f t="shared" si="1"/>
        <v>0</v>
      </c>
    </row>
    <row r="94" spans="1:4" x14ac:dyDescent="0.25">
      <c r="A94" t="s">
        <v>104</v>
      </c>
      <c r="B94">
        <v>0</v>
      </c>
      <c r="C94">
        <v>0</v>
      </c>
      <c r="D94">
        <f t="shared" si="1"/>
        <v>0</v>
      </c>
    </row>
    <row r="95" spans="1:4" x14ac:dyDescent="0.25">
      <c r="A95" t="s">
        <v>105</v>
      </c>
      <c r="B95">
        <v>0</v>
      </c>
      <c r="C95">
        <v>0</v>
      </c>
      <c r="D95">
        <f t="shared" si="1"/>
        <v>0</v>
      </c>
    </row>
    <row r="96" spans="1:4" x14ac:dyDescent="0.25">
      <c r="A96" t="s">
        <v>106</v>
      </c>
      <c r="B96">
        <v>0</v>
      </c>
      <c r="C96">
        <v>0</v>
      </c>
      <c r="D96">
        <f t="shared" si="1"/>
        <v>0</v>
      </c>
    </row>
    <row r="97" spans="1:4" x14ac:dyDescent="0.25">
      <c r="A97" t="s">
        <v>107</v>
      </c>
      <c r="B97">
        <v>0</v>
      </c>
      <c r="C97">
        <v>0</v>
      </c>
      <c r="D97">
        <f t="shared" si="1"/>
        <v>0</v>
      </c>
    </row>
    <row r="98" spans="1:4" x14ac:dyDescent="0.25">
      <c r="A98" t="s">
        <v>108</v>
      </c>
      <c r="B98">
        <v>0</v>
      </c>
      <c r="C98">
        <v>0</v>
      </c>
      <c r="D98">
        <f t="shared" si="1"/>
        <v>0</v>
      </c>
    </row>
    <row r="99" spans="1:4" x14ac:dyDescent="0.25">
      <c r="A99" t="s">
        <v>109</v>
      </c>
      <c r="B99">
        <v>0</v>
      </c>
      <c r="C99">
        <v>0</v>
      </c>
      <c r="D99">
        <f t="shared" si="1"/>
        <v>0</v>
      </c>
    </row>
    <row r="100" spans="1:4" x14ac:dyDescent="0.25">
      <c r="A100" t="s">
        <v>110</v>
      </c>
      <c r="B100">
        <v>0</v>
      </c>
      <c r="C100">
        <v>0</v>
      </c>
      <c r="D100">
        <f t="shared" si="1"/>
        <v>0</v>
      </c>
    </row>
    <row r="101" spans="1:4" x14ac:dyDescent="0.25">
      <c r="A101" t="s">
        <v>111</v>
      </c>
      <c r="B101">
        <v>0</v>
      </c>
      <c r="C101">
        <v>0</v>
      </c>
      <c r="D101">
        <f t="shared" si="1"/>
        <v>0</v>
      </c>
    </row>
    <row r="102" spans="1:4" x14ac:dyDescent="0.25">
      <c r="A102" t="s">
        <v>112</v>
      </c>
      <c r="B102">
        <v>0</v>
      </c>
      <c r="C102">
        <v>0</v>
      </c>
      <c r="D102">
        <f t="shared" si="1"/>
        <v>0</v>
      </c>
    </row>
    <row r="103" spans="1:4" x14ac:dyDescent="0.25">
      <c r="A103" t="s">
        <v>113</v>
      </c>
      <c r="B103">
        <v>0</v>
      </c>
      <c r="C103">
        <v>0</v>
      </c>
      <c r="D103">
        <f t="shared" si="1"/>
        <v>0</v>
      </c>
    </row>
    <row r="104" spans="1:4" x14ac:dyDescent="0.25">
      <c r="A104" t="s">
        <v>114</v>
      </c>
      <c r="B104">
        <v>0</v>
      </c>
      <c r="C104">
        <v>0</v>
      </c>
      <c r="D104">
        <f t="shared" si="1"/>
        <v>0</v>
      </c>
    </row>
    <row r="105" spans="1:4" x14ac:dyDescent="0.25">
      <c r="A105" t="s">
        <v>115</v>
      </c>
      <c r="B105">
        <v>0</v>
      </c>
      <c r="C105">
        <v>0</v>
      </c>
      <c r="D105">
        <f t="shared" si="1"/>
        <v>0</v>
      </c>
    </row>
    <row r="106" spans="1:4" x14ac:dyDescent="0.25">
      <c r="A106" t="s">
        <v>116</v>
      </c>
      <c r="B106">
        <v>0</v>
      </c>
      <c r="C106">
        <v>0</v>
      </c>
      <c r="D106">
        <f t="shared" si="1"/>
        <v>0</v>
      </c>
    </row>
    <row r="107" spans="1:4" x14ac:dyDescent="0.25">
      <c r="A107" t="s">
        <v>117</v>
      </c>
      <c r="B107">
        <v>0</v>
      </c>
      <c r="C107">
        <v>0</v>
      </c>
      <c r="D107">
        <f t="shared" si="1"/>
        <v>0</v>
      </c>
    </row>
    <row r="108" spans="1:4" x14ac:dyDescent="0.25">
      <c r="A108" t="s">
        <v>118</v>
      </c>
      <c r="B108">
        <v>0</v>
      </c>
      <c r="C108">
        <v>0</v>
      </c>
      <c r="D108">
        <f t="shared" si="1"/>
        <v>0</v>
      </c>
    </row>
    <row r="109" spans="1:4" x14ac:dyDescent="0.25">
      <c r="A109" t="s">
        <v>119</v>
      </c>
      <c r="B109">
        <v>0</v>
      </c>
      <c r="C109">
        <v>0</v>
      </c>
      <c r="D109">
        <f t="shared" si="1"/>
        <v>0</v>
      </c>
    </row>
    <row r="110" spans="1:4" x14ac:dyDescent="0.25">
      <c r="A110" t="s">
        <v>120</v>
      </c>
      <c r="B110">
        <v>0</v>
      </c>
      <c r="C110">
        <v>0</v>
      </c>
      <c r="D110">
        <f t="shared" si="1"/>
        <v>0</v>
      </c>
    </row>
    <row r="111" spans="1:4" x14ac:dyDescent="0.25">
      <c r="A111" t="s">
        <v>121</v>
      </c>
      <c r="B111">
        <v>0</v>
      </c>
      <c r="C111">
        <v>0</v>
      </c>
      <c r="D111">
        <f t="shared" si="1"/>
        <v>0</v>
      </c>
    </row>
    <row r="112" spans="1:4" x14ac:dyDescent="0.25">
      <c r="A112" t="s">
        <v>7</v>
      </c>
      <c r="B112">
        <f>SUM('All Planets'!N2:N39)</f>
        <v>20</v>
      </c>
      <c r="C112">
        <f>SUM('All Planets'!O2:O39)</f>
        <v>50</v>
      </c>
      <c r="D112">
        <f t="shared" ref="D112:D117" si="2">SUM(B112:C112)</f>
        <v>70</v>
      </c>
    </row>
    <row r="113" spans="1:4" x14ac:dyDescent="0.25">
      <c r="A113" t="s">
        <v>8</v>
      </c>
      <c r="B113">
        <f>SUM('All Planets'!N40:N61)</f>
        <v>6</v>
      </c>
      <c r="C113">
        <f>SUM('All Planets'!O40:O61)</f>
        <v>28</v>
      </c>
      <c r="D113">
        <f t="shared" si="2"/>
        <v>34</v>
      </c>
    </row>
    <row r="114" spans="1:4" x14ac:dyDescent="0.25">
      <c r="A114" t="s">
        <v>9</v>
      </c>
      <c r="B114" t="e">
        <f>SUM('All Planets'!#REF!)</f>
        <v>#REF!</v>
      </c>
      <c r="C114" t="e">
        <f>SUM('All Planets'!#REF!)</f>
        <v>#REF!</v>
      </c>
      <c r="D114" t="e">
        <f t="shared" si="2"/>
        <v>#REF!</v>
      </c>
    </row>
    <row r="115" spans="1:4" x14ac:dyDescent="0.25">
      <c r="A115" t="s">
        <v>10</v>
      </c>
      <c r="B115" t="e">
        <f>SUM('All Planets'!#REF!)</f>
        <v>#REF!</v>
      </c>
      <c r="C115" t="e">
        <f>SUM('All Planets'!#REF!)</f>
        <v>#REF!</v>
      </c>
      <c r="D115" t="e">
        <f t="shared" si="2"/>
        <v>#REF!</v>
      </c>
    </row>
    <row r="116" spans="1:4" x14ac:dyDescent="0.25">
      <c r="A116" t="s">
        <v>11</v>
      </c>
      <c r="B116" t="e">
        <f>SUM('All Planets'!#REF!)</f>
        <v>#REF!</v>
      </c>
      <c r="C116" t="e">
        <f>SUM('All Planets'!#REF!)</f>
        <v>#REF!</v>
      </c>
      <c r="D116" t="e">
        <f t="shared" si="2"/>
        <v>#REF!</v>
      </c>
    </row>
    <row r="117" spans="1:4" x14ac:dyDescent="0.25">
      <c r="A117" t="s">
        <v>122</v>
      </c>
      <c r="B117" t="e">
        <f>SUM('All Planets'!#REF!)</f>
        <v>#REF!</v>
      </c>
      <c r="C117" t="e">
        <f>SUM('All Planets'!#REF!)</f>
        <v>#REF!</v>
      </c>
      <c r="D117" t="e">
        <f t="shared" si="2"/>
        <v>#REF!</v>
      </c>
    </row>
    <row r="118" spans="1:4" x14ac:dyDescent="0.25">
      <c r="A118" t="s">
        <v>123</v>
      </c>
      <c r="B118" t="e">
        <f>SUM('All Planets'!#REF!)</f>
        <v>#REF!</v>
      </c>
      <c r="C118" t="e">
        <f>SUM('All Planets'!#REF!)</f>
        <v>#REF!</v>
      </c>
      <c r="D118" t="e">
        <f t="shared" ref="D118:D125" si="3">SUM(B118:C118)</f>
        <v>#REF!</v>
      </c>
    </row>
    <row r="119" spans="1:4" x14ac:dyDescent="0.25">
      <c r="A119" t="s">
        <v>124</v>
      </c>
      <c r="B119">
        <v>0</v>
      </c>
      <c r="C119">
        <v>0</v>
      </c>
      <c r="D119">
        <f t="shared" si="3"/>
        <v>0</v>
      </c>
    </row>
    <row r="120" spans="1:4" x14ac:dyDescent="0.25">
      <c r="A120" t="s">
        <v>125</v>
      </c>
      <c r="B120">
        <v>0</v>
      </c>
      <c r="C120">
        <v>0</v>
      </c>
      <c r="D120">
        <f t="shared" si="3"/>
        <v>0</v>
      </c>
    </row>
    <row r="121" spans="1:4" x14ac:dyDescent="0.25">
      <c r="A121" t="s">
        <v>126</v>
      </c>
      <c r="B121">
        <v>0</v>
      </c>
      <c r="C121">
        <v>0</v>
      </c>
      <c r="D121">
        <f t="shared" si="3"/>
        <v>0</v>
      </c>
    </row>
    <row r="122" spans="1:4" x14ac:dyDescent="0.25">
      <c r="A122" t="s">
        <v>127</v>
      </c>
      <c r="B122">
        <v>0</v>
      </c>
      <c r="C122">
        <v>0</v>
      </c>
      <c r="D122">
        <f t="shared" si="3"/>
        <v>0</v>
      </c>
    </row>
    <row r="123" spans="1:4" x14ac:dyDescent="0.25">
      <c r="A123" t="s">
        <v>128</v>
      </c>
      <c r="B123">
        <v>0</v>
      </c>
      <c r="C123">
        <v>0</v>
      </c>
      <c r="D123">
        <f t="shared" si="3"/>
        <v>0</v>
      </c>
    </row>
    <row r="124" spans="1:4" x14ac:dyDescent="0.25">
      <c r="A124" t="s">
        <v>129</v>
      </c>
      <c r="B124">
        <v>0</v>
      </c>
      <c r="C124">
        <v>0</v>
      </c>
      <c r="D124">
        <f t="shared" si="3"/>
        <v>0</v>
      </c>
    </row>
    <row r="125" spans="1:4" x14ac:dyDescent="0.25">
      <c r="A125" t="s">
        <v>130</v>
      </c>
      <c r="B125">
        <v>0</v>
      </c>
      <c r="C125">
        <v>0</v>
      </c>
      <c r="D125">
        <f t="shared" si="3"/>
        <v>0</v>
      </c>
    </row>
  </sheetData>
  <phoneticPr fontId="0" type="noConversion"/>
  <pageMargins left="0.75" right="0.75" top="1" bottom="1" header="0.5" footer="0.5"/>
  <headerFooter alignWithMargins="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pageSetUpPr fitToPage="1"/>
  </sheetPr>
  <dimension ref="A1:S147"/>
  <sheetViews>
    <sheetView zoomScale="70" zoomScaleNormal="70" workbookViewId="0">
      <pane xSplit="4" ySplit="1" topLeftCell="E47" activePane="bottomRight" state="frozenSplit"/>
      <selection pane="topRight" activeCell="D1" sqref="D1"/>
      <selection pane="bottomLeft" activeCell="A105" sqref="A105"/>
      <selection pane="bottomRight" activeCell="C9" sqref="C9"/>
    </sheetView>
  </sheetViews>
  <sheetFormatPr defaultColWidth="9.1796875" defaultRowHeight="12.5" x14ac:dyDescent="0.25"/>
  <cols>
    <col min="1" max="1" width="4.26953125" style="1" customWidth="1"/>
    <col min="2" max="2" width="8.54296875" style="2" customWidth="1"/>
    <col min="3" max="3" width="17.7265625" style="36" customWidth="1"/>
    <col min="4" max="4" width="12" style="2" customWidth="1"/>
    <col min="5" max="5" width="8.26953125" style="2" customWidth="1"/>
    <col min="6" max="6" width="16.453125" style="2" customWidth="1"/>
    <col min="7" max="7" width="15.453125" style="2" customWidth="1"/>
    <col min="8" max="10" width="6.54296875" style="3" customWidth="1"/>
    <col min="11" max="11" width="5" style="3" customWidth="1"/>
    <col min="12" max="12" width="5.453125" style="3" customWidth="1"/>
    <col min="13" max="13" width="4.26953125" style="139" customWidth="1"/>
    <col min="14" max="14" width="2.7265625" style="1" customWidth="1"/>
    <col min="15" max="15" width="2.81640625" style="1" customWidth="1"/>
    <col min="16" max="16" width="40.7265625" style="2" customWidth="1"/>
    <col min="17" max="17" width="12.54296875" style="4" bestFit="1" customWidth="1"/>
    <col min="18" max="16384" width="9.1796875" style="1"/>
  </cols>
  <sheetData>
    <row r="1" spans="1:19" s="12" customFormat="1" ht="54.75" customHeight="1" x14ac:dyDescent="0.35">
      <c r="A1" s="34" t="s">
        <v>486</v>
      </c>
      <c r="B1" s="34" t="s">
        <v>233</v>
      </c>
      <c r="C1" s="35" t="s">
        <v>490</v>
      </c>
      <c r="D1" s="10" t="s">
        <v>204</v>
      </c>
      <c r="E1" s="10" t="s">
        <v>199</v>
      </c>
      <c r="F1" s="10" t="s">
        <v>216</v>
      </c>
      <c r="G1" s="10" t="s">
        <v>215</v>
      </c>
      <c r="H1" s="8" t="s">
        <v>153</v>
      </c>
      <c r="I1" s="8" t="s">
        <v>154</v>
      </c>
      <c r="J1" s="8" t="s">
        <v>420</v>
      </c>
      <c r="K1" s="8" t="s">
        <v>135</v>
      </c>
      <c r="L1" s="8" t="s">
        <v>131</v>
      </c>
      <c r="M1" s="138" t="s">
        <v>132</v>
      </c>
      <c r="N1" s="9" t="s">
        <v>12</v>
      </c>
      <c r="O1" s="9" t="s">
        <v>156</v>
      </c>
      <c r="P1" s="10" t="s">
        <v>155</v>
      </c>
      <c r="Q1" s="11" t="s">
        <v>157</v>
      </c>
      <c r="R1" s="7">
        <f>SUM(N62:N78)</f>
        <v>6</v>
      </c>
      <c r="S1" s="7">
        <f>SUM(O2:O78)</f>
        <v>91</v>
      </c>
    </row>
    <row r="2" spans="1:19" s="12" customFormat="1" ht="37.5" hidden="1" x14ac:dyDescent="0.3">
      <c r="B2" s="63"/>
      <c r="C2" s="36">
        <v>38532</v>
      </c>
      <c r="D2" s="23" t="s">
        <v>146</v>
      </c>
      <c r="E2" s="23" t="s">
        <v>414</v>
      </c>
      <c r="F2" s="23"/>
      <c r="G2" s="23"/>
      <c r="H2" s="18"/>
      <c r="I2" s="18"/>
      <c r="J2" s="18"/>
      <c r="K2" s="18" t="e">
        <f>-LOG((1/(I2*H2))*(2.511^(-J2)))/LOG(2.511)</f>
        <v>#DIV/0!</v>
      </c>
      <c r="L2" s="18"/>
      <c r="M2" s="211"/>
      <c r="N2" s="17">
        <v>0</v>
      </c>
      <c r="O2" s="17">
        <v>1</v>
      </c>
      <c r="P2" s="14" t="s">
        <v>0</v>
      </c>
      <c r="Q2" s="25">
        <v>38644</v>
      </c>
      <c r="R2" s="30"/>
      <c r="S2" s="31"/>
    </row>
    <row r="3" spans="1:19" s="12" customFormat="1" ht="25" hidden="1" x14ac:dyDescent="0.3">
      <c r="B3" s="63"/>
      <c r="C3" s="36">
        <v>38421</v>
      </c>
      <c r="D3" s="23" t="s">
        <v>413</v>
      </c>
      <c r="E3" s="23" t="s">
        <v>414</v>
      </c>
      <c r="F3" s="23"/>
      <c r="G3" s="23"/>
      <c r="H3" s="18"/>
      <c r="I3" s="18"/>
      <c r="J3" s="18"/>
      <c r="K3" s="18"/>
      <c r="L3" s="18"/>
      <c r="M3" s="211"/>
      <c r="N3" s="17">
        <v>0</v>
      </c>
      <c r="O3" s="17">
        <v>1</v>
      </c>
      <c r="P3" s="14" t="s">
        <v>415</v>
      </c>
      <c r="Q3" s="25">
        <v>38644</v>
      </c>
      <c r="R3" s="30"/>
      <c r="S3" s="31"/>
    </row>
    <row r="4" spans="1:19" s="61" customFormat="1" ht="13" x14ac:dyDescent="0.3">
      <c r="B4" s="65"/>
      <c r="C4" s="54" t="s">
        <v>193</v>
      </c>
      <c r="D4" s="55" t="s">
        <v>194</v>
      </c>
      <c r="E4" s="55" t="s">
        <v>137</v>
      </c>
      <c r="F4" s="55"/>
      <c r="G4" s="55"/>
      <c r="H4" s="56"/>
      <c r="I4" s="56"/>
      <c r="J4" s="56"/>
      <c r="K4" s="56"/>
      <c r="L4" s="56"/>
      <c r="M4" s="239"/>
      <c r="N4" s="53">
        <v>0</v>
      </c>
      <c r="O4" s="53">
        <v>0</v>
      </c>
      <c r="P4" s="57" t="s">
        <v>195</v>
      </c>
      <c r="Q4" s="66">
        <v>39822</v>
      </c>
      <c r="R4" s="67"/>
      <c r="S4" s="68"/>
    </row>
    <row r="5" spans="1:19" s="12" customFormat="1" ht="62.5" x14ac:dyDescent="0.3">
      <c r="B5" s="63"/>
      <c r="C5" s="36" t="s">
        <v>297</v>
      </c>
      <c r="D5" s="23" t="s">
        <v>192</v>
      </c>
      <c r="E5" s="23" t="s">
        <v>137</v>
      </c>
      <c r="F5" s="23"/>
      <c r="G5" s="23"/>
      <c r="H5" s="18"/>
      <c r="I5" s="18"/>
      <c r="J5" s="18"/>
      <c r="K5" s="18"/>
      <c r="L5" s="18"/>
      <c r="M5" s="211"/>
      <c r="N5" s="17">
        <v>0</v>
      </c>
      <c r="O5" s="17">
        <v>1</v>
      </c>
      <c r="P5" s="14" t="s">
        <v>301</v>
      </c>
      <c r="Q5" s="25">
        <v>39401</v>
      </c>
      <c r="R5" s="30"/>
      <c r="S5" s="31"/>
    </row>
    <row r="6" spans="1:19" s="12" customFormat="1" ht="25" x14ac:dyDescent="0.3">
      <c r="B6" s="63"/>
      <c r="C6" s="36" t="s">
        <v>298</v>
      </c>
      <c r="D6" s="23" t="s">
        <v>192</v>
      </c>
      <c r="E6" s="23" t="s">
        <v>137</v>
      </c>
      <c r="F6" s="23"/>
      <c r="G6" s="23"/>
      <c r="H6" s="18"/>
      <c r="I6" s="18"/>
      <c r="J6" s="18"/>
      <c r="K6" s="18"/>
      <c r="L6" s="18"/>
      <c r="M6" s="211"/>
      <c r="N6" s="17">
        <v>1</v>
      </c>
      <c r="O6" s="17">
        <v>0</v>
      </c>
      <c r="P6" s="14" t="s">
        <v>299</v>
      </c>
      <c r="Q6" s="25">
        <v>39405</v>
      </c>
      <c r="R6" s="30"/>
      <c r="S6" s="31"/>
    </row>
    <row r="7" spans="1:19" s="12" customFormat="1" ht="37.5" x14ac:dyDescent="0.3">
      <c r="B7" s="63"/>
      <c r="C7" s="36" t="s">
        <v>300</v>
      </c>
      <c r="D7" s="23" t="s">
        <v>192</v>
      </c>
      <c r="E7" s="23" t="s">
        <v>137</v>
      </c>
      <c r="F7" s="23"/>
      <c r="G7" s="23"/>
      <c r="H7" s="18"/>
      <c r="I7" s="18"/>
      <c r="J7" s="18"/>
      <c r="K7" s="18"/>
      <c r="L7" s="18"/>
      <c r="M7" s="211"/>
      <c r="N7" s="17">
        <v>0</v>
      </c>
      <c r="O7" s="17">
        <v>1</v>
      </c>
      <c r="P7" s="14" t="s">
        <v>302</v>
      </c>
      <c r="Q7" s="25">
        <v>39411</v>
      </c>
      <c r="R7" s="30"/>
      <c r="S7" s="31"/>
    </row>
    <row r="8" spans="1:19" s="12" customFormat="1" ht="37.5" x14ac:dyDescent="0.3">
      <c r="B8" s="63"/>
      <c r="C8" s="36" t="s">
        <v>304</v>
      </c>
      <c r="D8" s="23" t="s">
        <v>192</v>
      </c>
      <c r="E8" s="23" t="s">
        <v>137</v>
      </c>
      <c r="F8" s="23"/>
      <c r="G8" s="23"/>
      <c r="H8" s="18"/>
      <c r="I8" s="18"/>
      <c r="J8" s="18"/>
      <c r="K8" s="18"/>
      <c r="L8" s="18"/>
      <c r="M8" s="211"/>
      <c r="N8" s="17">
        <v>0</v>
      </c>
      <c r="O8" s="17">
        <v>1</v>
      </c>
      <c r="P8" s="14" t="s">
        <v>305</v>
      </c>
      <c r="Q8" s="25">
        <v>39428</v>
      </c>
      <c r="R8" s="30"/>
      <c r="S8" s="31"/>
    </row>
    <row r="9" spans="1:19" s="12" customFormat="1" ht="50" x14ac:dyDescent="0.3">
      <c r="B9" s="63"/>
      <c r="C9" s="36" t="s">
        <v>266</v>
      </c>
      <c r="D9" s="23" t="s">
        <v>192</v>
      </c>
      <c r="E9" s="23" t="s">
        <v>137</v>
      </c>
      <c r="F9" s="23"/>
      <c r="G9" s="23"/>
      <c r="H9" s="18">
        <v>140</v>
      </c>
      <c r="I9" s="18">
        <v>140</v>
      </c>
      <c r="J9" s="18">
        <v>2.5</v>
      </c>
      <c r="K9" s="18">
        <f>-LOG((1/(I9*H9))*(2.511^(-J9)))/LOG(2.511)</f>
        <v>13.234753931660265</v>
      </c>
      <c r="L9" s="18"/>
      <c r="M9" s="211"/>
      <c r="N9" s="17">
        <v>1</v>
      </c>
      <c r="O9" s="17">
        <v>0</v>
      </c>
      <c r="P9" s="14" t="s">
        <v>267</v>
      </c>
      <c r="Q9" s="25">
        <v>39381</v>
      </c>
      <c r="R9" s="30"/>
      <c r="S9" s="31"/>
    </row>
    <row r="10" spans="1:19" s="12" customFormat="1" ht="87.5" x14ac:dyDescent="0.3">
      <c r="B10" s="63"/>
      <c r="C10" s="36" t="s">
        <v>266</v>
      </c>
      <c r="D10" s="23" t="s">
        <v>192</v>
      </c>
      <c r="E10" s="23" t="s">
        <v>137</v>
      </c>
      <c r="F10" s="23"/>
      <c r="G10" s="23"/>
      <c r="H10" s="18">
        <v>140</v>
      </c>
      <c r="I10" s="18">
        <v>140</v>
      </c>
      <c r="J10" s="18">
        <v>2.5</v>
      </c>
      <c r="K10" s="18">
        <f>-LOG((1/(I10*H10))*(2.511^(-J10)))/LOG(2.511)</f>
        <v>13.234753931660265</v>
      </c>
      <c r="L10" s="18"/>
      <c r="M10" s="211"/>
      <c r="N10" s="17">
        <v>0</v>
      </c>
      <c r="O10" s="17">
        <v>1</v>
      </c>
      <c r="P10" s="14" t="s">
        <v>268</v>
      </c>
      <c r="Q10" s="25">
        <v>39381</v>
      </c>
      <c r="R10" s="30"/>
      <c r="S10" s="31"/>
    </row>
    <row r="11" spans="1:19" s="12" customFormat="1" ht="150" x14ac:dyDescent="0.3">
      <c r="B11" s="63"/>
      <c r="C11" s="36" t="s">
        <v>266</v>
      </c>
      <c r="D11" s="23" t="s">
        <v>192</v>
      </c>
      <c r="E11" s="23" t="s">
        <v>137</v>
      </c>
      <c r="F11" s="23"/>
      <c r="G11" s="23"/>
      <c r="H11" s="18">
        <v>140</v>
      </c>
      <c r="I11" s="18">
        <v>140</v>
      </c>
      <c r="J11" s="18">
        <v>2.5</v>
      </c>
      <c r="K11" s="18">
        <f>-LOG((1/(I11*H11))*(2.511^(-J11)))/LOG(2.511)</f>
        <v>13.234753931660265</v>
      </c>
      <c r="L11" s="18"/>
      <c r="M11" s="211"/>
      <c r="N11" s="17">
        <v>0</v>
      </c>
      <c r="O11" s="17">
        <v>1</v>
      </c>
      <c r="P11" s="14" t="s">
        <v>294</v>
      </c>
      <c r="Q11" s="25">
        <v>39381</v>
      </c>
      <c r="R11" s="30"/>
      <c r="S11" s="31"/>
    </row>
    <row r="12" spans="1:19" s="12" customFormat="1" ht="62.5" x14ac:dyDescent="0.3">
      <c r="B12" s="63"/>
      <c r="C12" s="36" t="s">
        <v>295</v>
      </c>
      <c r="D12" s="23" t="s">
        <v>192</v>
      </c>
      <c r="E12" s="23" t="s">
        <v>137</v>
      </c>
      <c r="F12" s="23"/>
      <c r="G12" s="23"/>
      <c r="H12" s="18"/>
      <c r="I12" s="18"/>
      <c r="J12" s="18"/>
      <c r="K12" s="18"/>
      <c r="L12" s="18"/>
      <c r="M12" s="211"/>
      <c r="N12" s="17">
        <v>0</v>
      </c>
      <c r="O12" s="17">
        <v>1</v>
      </c>
      <c r="P12" s="14" t="s">
        <v>296</v>
      </c>
      <c r="Q12" s="25">
        <v>39397</v>
      </c>
      <c r="R12" s="30"/>
      <c r="S12" s="31"/>
    </row>
    <row r="13" spans="1:19" s="12" customFormat="1" ht="37.5" x14ac:dyDescent="0.3">
      <c r="B13" s="63"/>
      <c r="C13" s="36" t="s">
        <v>311</v>
      </c>
      <c r="D13" s="23" t="s">
        <v>312</v>
      </c>
      <c r="E13" s="23" t="s">
        <v>137</v>
      </c>
      <c r="F13" s="23"/>
      <c r="G13" s="23"/>
      <c r="H13" s="18"/>
      <c r="I13" s="18"/>
      <c r="J13" s="18"/>
      <c r="K13" s="18"/>
      <c r="L13" s="18"/>
      <c r="M13" s="211"/>
      <c r="N13" s="17">
        <v>1</v>
      </c>
      <c r="O13" s="17">
        <v>0</v>
      </c>
      <c r="P13" s="14" t="s">
        <v>328</v>
      </c>
      <c r="Q13" s="25">
        <v>39458</v>
      </c>
      <c r="R13" s="30"/>
      <c r="S13" s="31"/>
    </row>
    <row r="14" spans="1:19" s="12" customFormat="1" ht="25" x14ac:dyDescent="0.3">
      <c r="B14" s="63"/>
      <c r="C14" s="36" t="s">
        <v>327</v>
      </c>
      <c r="D14" s="23" t="s">
        <v>325</v>
      </c>
      <c r="E14" s="23" t="s">
        <v>137</v>
      </c>
      <c r="F14" s="23"/>
      <c r="G14" s="23"/>
      <c r="H14" s="18"/>
      <c r="I14" s="18"/>
      <c r="J14" s="18"/>
      <c r="K14" s="18"/>
      <c r="L14" s="18"/>
      <c r="M14" s="211"/>
      <c r="N14" s="17">
        <v>1</v>
      </c>
      <c r="O14" s="17">
        <v>0</v>
      </c>
      <c r="P14" s="14" t="s">
        <v>356</v>
      </c>
      <c r="Q14" s="25">
        <v>39462</v>
      </c>
      <c r="R14" s="30"/>
      <c r="S14" s="31"/>
    </row>
    <row r="15" spans="1:19" s="12" customFormat="1" ht="25" x14ac:dyDescent="0.3">
      <c r="B15" s="63"/>
      <c r="C15" s="36" t="s">
        <v>327</v>
      </c>
      <c r="D15" s="23" t="s">
        <v>325</v>
      </c>
      <c r="E15" s="23" t="s">
        <v>137</v>
      </c>
      <c r="F15" s="23"/>
      <c r="G15" s="23"/>
      <c r="H15" s="18"/>
      <c r="I15" s="18"/>
      <c r="J15" s="18"/>
      <c r="K15" s="18"/>
      <c r="L15" s="18"/>
      <c r="M15" s="211"/>
      <c r="N15" s="17">
        <v>0</v>
      </c>
      <c r="O15" s="17">
        <v>1</v>
      </c>
      <c r="P15" s="14" t="s">
        <v>357</v>
      </c>
      <c r="Q15" s="25">
        <v>39462</v>
      </c>
      <c r="R15" s="30"/>
      <c r="S15" s="31"/>
    </row>
    <row r="16" spans="1:19" s="12" customFormat="1" ht="37.5" x14ac:dyDescent="0.3">
      <c r="B16" s="63"/>
      <c r="C16" s="36" t="s">
        <v>324</v>
      </c>
      <c r="D16" s="23" t="s">
        <v>325</v>
      </c>
      <c r="E16" s="23" t="s">
        <v>137</v>
      </c>
      <c r="F16" s="23"/>
      <c r="G16" s="23"/>
      <c r="H16" s="18"/>
      <c r="I16" s="18"/>
      <c r="J16" s="18"/>
      <c r="K16" s="18"/>
      <c r="L16" s="18"/>
      <c r="M16" s="211"/>
      <c r="N16" s="17">
        <v>1</v>
      </c>
      <c r="O16" s="17">
        <v>0</v>
      </c>
      <c r="P16" s="14" t="s">
        <v>354</v>
      </c>
      <c r="Q16" s="25">
        <v>39462</v>
      </c>
      <c r="R16" s="30"/>
      <c r="S16" s="31"/>
    </row>
    <row r="17" spans="2:19" s="12" customFormat="1" ht="25" x14ac:dyDescent="0.3">
      <c r="B17" s="63"/>
      <c r="C17" s="36" t="s">
        <v>326</v>
      </c>
      <c r="D17" s="23" t="s">
        <v>325</v>
      </c>
      <c r="E17" s="23" t="s">
        <v>137</v>
      </c>
      <c r="F17" s="23"/>
      <c r="G17" s="23"/>
      <c r="H17" s="18"/>
      <c r="I17" s="18"/>
      <c r="J17" s="18"/>
      <c r="K17" s="18"/>
      <c r="L17" s="18"/>
      <c r="M17" s="211"/>
      <c r="N17" s="17">
        <v>1</v>
      </c>
      <c r="O17" s="17">
        <v>0</v>
      </c>
      <c r="P17" s="14" t="s">
        <v>355</v>
      </c>
      <c r="Q17" s="25">
        <v>39462</v>
      </c>
      <c r="R17" s="30"/>
      <c r="S17" s="31"/>
    </row>
    <row r="18" spans="2:19" s="12" customFormat="1" ht="37.5" x14ac:dyDescent="0.3">
      <c r="B18" s="63"/>
      <c r="C18" s="36" t="s">
        <v>352</v>
      </c>
      <c r="D18" s="23" t="s">
        <v>325</v>
      </c>
      <c r="E18" s="23" t="s">
        <v>137</v>
      </c>
      <c r="F18" s="23"/>
      <c r="G18" s="23"/>
      <c r="H18" s="18"/>
      <c r="I18" s="18"/>
      <c r="J18" s="18"/>
      <c r="K18" s="18"/>
      <c r="L18" s="18"/>
      <c r="M18" s="211"/>
      <c r="N18" s="17"/>
      <c r="O18" s="17"/>
      <c r="P18" s="14" t="s">
        <v>384</v>
      </c>
      <c r="Q18" s="25">
        <v>39471</v>
      </c>
      <c r="R18" s="30"/>
      <c r="S18" s="31"/>
    </row>
    <row r="19" spans="2:19" s="12" customFormat="1" ht="37.5" x14ac:dyDescent="0.3">
      <c r="B19" s="63"/>
      <c r="C19" s="36" t="s">
        <v>353</v>
      </c>
      <c r="D19" s="23" t="s">
        <v>325</v>
      </c>
      <c r="E19" s="23" t="s">
        <v>137</v>
      </c>
      <c r="F19" s="23"/>
      <c r="G19" s="23"/>
      <c r="H19" s="18"/>
      <c r="I19" s="18"/>
      <c r="J19" s="18"/>
      <c r="K19" s="18"/>
      <c r="L19" s="18"/>
      <c r="M19" s="211"/>
      <c r="N19" s="17"/>
      <c r="O19" s="17"/>
      <c r="P19" s="14" t="s">
        <v>384</v>
      </c>
      <c r="Q19" s="25">
        <v>39471</v>
      </c>
      <c r="R19" s="30"/>
      <c r="S19" s="31"/>
    </row>
    <row r="20" spans="2:19" s="12" customFormat="1" ht="75" x14ac:dyDescent="0.3">
      <c r="B20" s="63"/>
      <c r="C20" s="36" t="s">
        <v>345</v>
      </c>
      <c r="D20" s="23" t="s">
        <v>325</v>
      </c>
      <c r="E20" s="23" t="s">
        <v>137</v>
      </c>
      <c r="F20" s="23"/>
      <c r="G20" s="23"/>
      <c r="H20" s="18"/>
      <c r="I20" s="18"/>
      <c r="J20" s="18"/>
      <c r="K20" s="18"/>
      <c r="L20" s="18"/>
      <c r="M20" s="211"/>
      <c r="N20" s="17">
        <v>2</v>
      </c>
      <c r="O20" s="17">
        <v>0</v>
      </c>
      <c r="P20" s="14" t="s">
        <v>382</v>
      </c>
      <c r="Q20" s="25">
        <v>39462</v>
      </c>
      <c r="R20" s="30"/>
      <c r="S20" s="31"/>
    </row>
    <row r="21" spans="2:19" s="12" customFormat="1" ht="150" x14ac:dyDescent="0.3">
      <c r="B21" s="63"/>
      <c r="C21" s="36" t="s">
        <v>346</v>
      </c>
      <c r="D21" s="23" t="s">
        <v>325</v>
      </c>
      <c r="E21" s="23" t="s">
        <v>137</v>
      </c>
      <c r="F21" s="23"/>
      <c r="G21" s="23"/>
      <c r="H21" s="18"/>
      <c r="I21" s="18"/>
      <c r="J21" s="18"/>
      <c r="K21" s="18"/>
      <c r="L21" s="18"/>
      <c r="M21" s="211"/>
      <c r="N21" s="17">
        <v>0</v>
      </c>
      <c r="O21" s="17">
        <v>13</v>
      </c>
      <c r="P21" s="14" t="s">
        <v>359</v>
      </c>
      <c r="Q21" s="25">
        <v>39462</v>
      </c>
      <c r="R21" s="30"/>
      <c r="S21" s="31"/>
    </row>
    <row r="22" spans="2:19" s="12" customFormat="1" ht="62.5" x14ac:dyDescent="0.3">
      <c r="B22" s="63"/>
      <c r="C22" s="36" t="s">
        <v>346</v>
      </c>
      <c r="D22" s="23" t="s">
        <v>325</v>
      </c>
      <c r="E22" s="23" t="s">
        <v>137</v>
      </c>
      <c r="F22" s="23"/>
      <c r="G22" s="23"/>
      <c r="H22" s="18"/>
      <c r="I22" s="18"/>
      <c r="J22" s="18"/>
      <c r="K22" s="18"/>
      <c r="L22" s="18"/>
      <c r="M22" s="211"/>
      <c r="N22" s="17">
        <v>2</v>
      </c>
      <c r="O22" s="17">
        <v>0</v>
      </c>
      <c r="P22" s="14" t="s">
        <v>360</v>
      </c>
      <c r="Q22" s="25">
        <v>39462</v>
      </c>
      <c r="R22" s="30"/>
      <c r="S22" s="31"/>
    </row>
    <row r="23" spans="2:19" s="12" customFormat="1" ht="75" x14ac:dyDescent="0.3">
      <c r="B23" s="63"/>
      <c r="C23" s="36" t="s">
        <v>344</v>
      </c>
      <c r="D23" s="23" t="s">
        <v>325</v>
      </c>
      <c r="E23" s="23" t="s">
        <v>137</v>
      </c>
      <c r="F23" s="23"/>
      <c r="G23" s="23"/>
      <c r="H23" s="18"/>
      <c r="I23" s="18"/>
      <c r="J23" s="18"/>
      <c r="K23" s="18"/>
      <c r="L23" s="18"/>
      <c r="M23" s="211"/>
      <c r="N23" s="17">
        <v>0</v>
      </c>
      <c r="O23" s="17">
        <v>1</v>
      </c>
      <c r="P23" s="14" t="s">
        <v>358</v>
      </c>
      <c r="Q23" s="25">
        <v>39462</v>
      </c>
      <c r="R23" s="30"/>
      <c r="S23" s="31"/>
    </row>
    <row r="24" spans="2:19" s="12" customFormat="1" ht="37.5" x14ac:dyDescent="0.3">
      <c r="B24" s="63"/>
      <c r="C24" s="36" t="s">
        <v>347</v>
      </c>
      <c r="D24" s="23" t="s">
        <v>325</v>
      </c>
      <c r="E24" s="23" t="s">
        <v>137</v>
      </c>
      <c r="F24" s="23"/>
      <c r="G24" s="23"/>
      <c r="H24" s="18"/>
      <c r="I24" s="18"/>
      <c r="J24" s="18"/>
      <c r="K24" s="18"/>
      <c r="L24" s="18"/>
      <c r="M24" s="211"/>
      <c r="N24" s="17">
        <v>0</v>
      </c>
      <c r="O24" s="17">
        <v>0</v>
      </c>
      <c r="P24" s="14" t="s">
        <v>361</v>
      </c>
      <c r="Q24" s="25">
        <v>39462</v>
      </c>
      <c r="R24" s="30"/>
      <c r="S24" s="31"/>
    </row>
    <row r="25" spans="2:19" s="12" customFormat="1" ht="125" x14ac:dyDescent="0.3">
      <c r="B25" s="63"/>
      <c r="C25" s="36" t="s">
        <v>348</v>
      </c>
      <c r="D25" s="23" t="s">
        <v>325</v>
      </c>
      <c r="E25" s="23" t="s">
        <v>137</v>
      </c>
      <c r="F25" s="23"/>
      <c r="G25" s="23"/>
      <c r="H25" s="18"/>
      <c r="I25" s="18"/>
      <c r="J25" s="18"/>
      <c r="K25" s="18"/>
      <c r="L25" s="18"/>
      <c r="M25" s="211"/>
      <c r="N25" s="17">
        <v>0</v>
      </c>
      <c r="O25" s="17">
        <v>11</v>
      </c>
      <c r="P25" s="14" t="s">
        <v>364</v>
      </c>
      <c r="Q25" s="25">
        <v>39469</v>
      </c>
      <c r="R25" s="30"/>
      <c r="S25" s="31"/>
    </row>
    <row r="26" spans="2:19" s="12" customFormat="1" ht="150" x14ac:dyDescent="0.3">
      <c r="B26" s="63"/>
      <c r="C26" s="36" t="s">
        <v>348</v>
      </c>
      <c r="D26" s="23" t="s">
        <v>325</v>
      </c>
      <c r="E26" s="23" t="s">
        <v>137</v>
      </c>
      <c r="F26" s="23"/>
      <c r="G26" s="23"/>
      <c r="H26" s="18"/>
      <c r="I26" s="18"/>
      <c r="J26" s="18"/>
      <c r="K26" s="18"/>
      <c r="L26" s="18"/>
      <c r="M26" s="211"/>
      <c r="N26" s="17">
        <v>3</v>
      </c>
      <c r="O26" s="17">
        <v>0</v>
      </c>
      <c r="P26" s="14" t="s">
        <v>378</v>
      </c>
      <c r="Q26" s="25">
        <v>39469</v>
      </c>
      <c r="R26" s="30"/>
      <c r="S26" s="31"/>
    </row>
    <row r="27" spans="2:19" s="12" customFormat="1" ht="50" x14ac:dyDescent="0.3">
      <c r="B27" s="63"/>
      <c r="C27" s="36" t="s">
        <v>349</v>
      </c>
      <c r="D27" s="23" t="s">
        <v>325</v>
      </c>
      <c r="E27" s="23" t="s">
        <v>137</v>
      </c>
      <c r="F27" s="23"/>
      <c r="G27" s="23"/>
      <c r="H27" s="18"/>
      <c r="I27" s="18"/>
      <c r="J27" s="18"/>
      <c r="K27" s="18"/>
      <c r="L27" s="18"/>
      <c r="M27" s="211"/>
      <c r="N27" s="17">
        <v>0</v>
      </c>
      <c r="O27" s="17">
        <v>0</v>
      </c>
      <c r="P27" s="14" t="s">
        <v>379</v>
      </c>
      <c r="Q27" s="25">
        <v>39470</v>
      </c>
      <c r="R27" s="30"/>
      <c r="S27" s="31"/>
    </row>
    <row r="28" spans="2:19" s="12" customFormat="1" ht="150" x14ac:dyDescent="0.3">
      <c r="B28" s="63"/>
      <c r="C28" s="36" t="s">
        <v>350</v>
      </c>
      <c r="D28" s="23" t="s">
        <v>325</v>
      </c>
      <c r="E28" s="23" t="s">
        <v>137</v>
      </c>
      <c r="F28" s="23"/>
      <c r="G28" s="23"/>
      <c r="H28" s="18"/>
      <c r="I28" s="18"/>
      <c r="J28" s="18"/>
      <c r="K28" s="18"/>
      <c r="L28" s="18"/>
      <c r="M28" s="211"/>
      <c r="N28" s="17">
        <v>2</v>
      </c>
      <c r="O28" s="17">
        <v>0</v>
      </c>
      <c r="P28" s="14" t="s">
        <v>380</v>
      </c>
      <c r="Q28" s="25">
        <v>39470</v>
      </c>
      <c r="R28" s="30"/>
      <c r="S28" s="31"/>
    </row>
    <row r="29" spans="2:19" s="12" customFormat="1" ht="150" x14ac:dyDescent="0.3">
      <c r="B29" s="63"/>
      <c r="C29" s="36" t="s">
        <v>350</v>
      </c>
      <c r="D29" s="23" t="s">
        <v>325</v>
      </c>
      <c r="E29" s="23" t="s">
        <v>137</v>
      </c>
      <c r="F29" s="23"/>
      <c r="G29" s="23"/>
      <c r="H29" s="18"/>
      <c r="I29" s="18"/>
      <c r="J29" s="18"/>
      <c r="K29" s="18"/>
      <c r="L29" s="18"/>
      <c r="M29" s="211"/>
      <c r="N29" s="17">
        <v>0</v>
      </c>
      <c r="O29" s="17">
        <v>9</v>
      </c>
      <c r="P29" s="14" t="s">
        <v>381</v>
      </c>
      <c r="Q29" s="25">
        <v>39470</v>
      </c>
      <c r="R29" s="30"/>
      <c r="S29" s="31"/>
    </row>
    <row r="30" spans="2:19" s="12" customFormat="1" ht="100" x14ac:dyDescent="0.3">
      <c r="B30" s="63"/>
      <c r="C30" s="36" t="s">
        <v>351</v>
      </c>
      <c r="D30" s="23" t="s">
        <v>325</v>
      </c>
      <c r="E30" s="23" t="s">
        <v>137</v>
      </c>
      <c r="F30" s="23"/>
      <c r="G30" s="23"/>
      <c r="H30" s="18"/>
      <c r="I30" s="18"/>
      <c r="J30" s="18"/>
      <c r="K30" s="18"/>
      <c r="L30" s="18"/>
      <c r="M30" s="211"/>
      <c r="N30" s="17"/>
      <c r="O30" s="17"/>
      <c r="P30" s="14" t="s">
        <v>383</v>
      </c>
      <c r="Q30" s="25">
        <v>39471</v>
      </c>
      <c r="R30" s="30"/>
      <c r="S30" s="31"/>
    </row>
    <row r="31" spans="2:19" s="12" customFormat="1" ht="200" x14ac:dyDescent="0.3">
      <c r="B31" s="63"/>
      <c r="C31" s="36" t="s">
        <v>317</v>
      </c>
      <c r="D31" s="23" t="s">
        <v>318</v>
      </c>
      <c r="E31" s="23" t="s">
        <v>137</v>
      </c>
      <c r="F31" s="23"/>
      <c r="G31" s="23"/>
      <c r="H31" s="18"/>
      <c r="I31" s="18"/>
      <c r="J31" s="18"/>
      <c r="K31" s="18"/>
      <c r="L31" s="18"/>
      <c r="M31" s="211"/>
      <c r="N31" s="17">
        <v>1</v>
      </c>
      <c r="O31" s="17">
        <v>0</v>
      </c>
      <c r="P31" s="14" t="s">
        <v>335</v>
      </c>
      <c r="Q31" s="25">
        <v>39458</v>
      </c>
      <c r="R31" s="30"/>
      <c r="S31" s="31"/>
    </row>
    <row r="32" spans="2:19" s="12" customFormat="1" ht="62.5" x14ac:dyDescent="0.3">
      <c r="B32" s="63"/>
      <c r="C32" s="36" t="s">
        <v>319</v>
      </c>
      <c r="D32" s="23" t="s">
        <v>318</v>
      </c>
      <c r="E32" s="23" t="s">
        <v>137</v>
      </c>
      <c r="F32" s="23"/>
      <c r="G32" s="23"/>
      <c r="H32" s="18"/>
      <c r="I32" s="18"/>
      <c r="J32" s="18"/>
      <c r="K32" s="18"/>
      <c r="L32" s="18"/>
      <c r="M32" s="211"/>
      <c r="N32" s="17">
        <v>0</v>
      </c>
      <c r="O32" s="17">
        <v>4</v>
      </c>
      <c r="P32" s="14" t="s">
        <v>336</v>
      </c>
      <c r="Q32" s="25">
        <v>39458</v>
      </c>
      <c r="R32" s="30"/>
      <c r="S32" s="31"/>
    </row>
    <row r="33" spans="2:19" s="12" customFormat="1" ht="37.5" x14ac:dyDescent="0.3">
      <c r="B33" s="63"/>
      <c r="C33" s="36" t="s">
        <v>320</v>
      </c>
      <c r="D33" s="23" t="s">
        <v>318</v>
      </c>
      <c r="E33" s="23" t="s">
        <v>137</v>
      </c>
      <c r="F33" s="23"/>
      <c r="G33" s="23"/>
      <c r="H33" s="18"/>
      <c r="I33" s="18"/>
      <c r="J33" s="18"/>
      <c r="K33" s="18"/>
      <c r="L33" s="18"/>
      <c r="M33" s="211"/>
      <c r="N33" s="17">
        <v>1</v>
      </c>
      <c r="O33" s="17">
        <v>0</v>
      </c>
      <c r="P33" s="14" t="s">
        <v>337</v>
      </c>
      <c r="Q33" s="25">
        <v>39458</v>
      </c>
      <c r="R33" s="30"/>
      <c r="S33" s="31"/>
    </row>
    <row r="34" spans="2:19" s="12" customFormat="1" ht="62.5" x14ac:dyDescent="0.3">
      <c r="B34" s="63"/>
      <c r="C34" s="36" t="s">
        <v>320</v>
      </c>
      <c r="D34" s="23" t="s">
        <v>318</v>
      </c>
      <c r="E34" s="23" t="s">
        <v>137</v>
      </c>
      <c r="F34" s="23"/>
      <c r="G34" s="23"/>
      <c r="H34" s="18"/>
      <c r="I34" s="18"/>
      <c r="J34" s="18"/>
      <c r="K34" s="18"/>
      <c r="L34" s="18"/>
      <c r="M34" s="211"/>
      <c r="N34" s="17">
        <v>0</v>
      </c>
      <c r="O34" s="17">
        <v>3</v>
      </c>
      <c r="P34" s="14" t="s">
        <v>338</v>
      </c>
      <c r="Q34" s="25">
        <v>39458</v>
      </c>
      <c r="R34" s="30"/>
      <c r="S34" s="31"/>
    </row>
    <row r="35" spans="2:19" s="12" customFormat="1" ht="62.5" x14ac:dyDescent="0.3">
      <c r="B35" s="63"/>
      <c r="C35" s="36" t="s">
        <v>321</v>
      </c>
      <c r="D35" s="23" t="s">
        <v>318</v>
      </c>
      <c r="E35" s="23" t="s">
        <v>137</v>
      </c>
      <c r="F35" s="23"/>
      <c r="G35" s="23"/>
      <c r="H35" s="18"/>
      <c r="I35" s="18"/>
      <c r="J35" s="18"/>
      <c r="K35" s="18"/>
      <c r="L35" s="18"/>
      <c r="M35" s="211"/>
      <c r="N35" s="17">
        <v>1</v>
      </c>
      <c r="O35" s="17">
        <v>0</v>
      </c>
      <c r="P35" s="14" t="s">
        <v>340</v>
      </c>
      <c r="Q35" s="25">
        <v>39458</v>
      </c>
      <c r="R35" s="30"/>
      <c r="S35" s="31"/>
    </row>
    <row r="36" spans="2:19" s="12" customFormat="1" ht="37.5" x14ac:dyDescent="0.3">
      <c r="B36" s="63"/>
      <c r="C36" s="36" t="s">
        <v>322</v>
      </c>
      <c r="D36" s="23" t="s">
        <v>318</v>
      </c>
      <c r="E36" s="23" t="s">
        <v>137</v>
      </c>
      <c r="F36" s="23"/>
      <c r="G36" s="23"/>
      <c r="H36" s="18"/>
      <c r="I36" s="18"/>
      <c r="J36" s="18"/>
      <c r="K36" s="18"/>
      <c r="L36" s="18"/>
      <c r="M36" s="211"/>
      <c r="N36" s="17">
        <v>1</v>
      </c>
      <c r="O36" s="17">
        <v>0</v>
      </c>
      <c r="P36" s="14" t="s">
        <v>339</v>
      </c>
      <c r="Q36" s="25">
        <v>39458</v>
      </c>
      <c r="R36" s="30"/>
      <c r="S36" s="31"/>
    </row>
    <row r="37" spans="2:19" s="12" customFormat="1" ht="112.5" x14ac:dyDescent="0.3">
      <c r="B37" s="63"/>
      <c r="C37" s="36" t="s">
        <v>323</v>
      </c>
      <c r="D37" s="23" t="s">
        <v>318</v>
      </c>
      <c r="E37" s="23" t="s">
        <v>137</v>
      </c>
      <c r="F37" s="23"/>
      <c r="G37" s="23"/>
      <c r="H37" s="18"/>
      <c r="I37" s="18"/>
      <c r="J37" s="18"/>
      <c r="K37" s="18"/>
      <c r="L37" s="18"/>
      <c r="M37" s="211"/>
      <c r="N37" s="17"/>
      <c r="O37" s="17"/>
      <c r="P37" s="14" t="s">
        <v>341</v>
      </c>
      <c r="Q37" s="25">
        <v>39458</v>
      </c>
      <c r="R37" s="30"/>
      <c r="S37" s="31"/>
    </row>
    <row r="38" spans="2:19" s="12" customFormat="1" ht="125" x14ac:dyDescent="0.3">
      <c r="B38" s="63"/>
      <c r="C38" s="36" t="s">
        <v>323</v>
      </c>
      <c r="D38" s="23" t="s">
        <v>318</v>
      </c>
      <c r="E38" s="23" t="s">
        <v>137</v>
      </c>
      <c r="F38" s="23"/>
      <c r="G38" s="23"/>
      <c r="H38" s="18"/>
      <c r="I38" s="18"/>
      <c r="J38" s="18"/>
      <c r="K38" s="18"/>
      <c r="L38" s="18"/>
      <c r="M38" s="211"/>
      <c r="N38" s="17"/>
      <c r="O38" s="17"/>
      <c r="P38" s="14" t="s">
        <v>342</v>
      </c>
      <c r="Q38" s="25">
        <v>39458</v>
      </c>
      <c r="R38" s="30"/>
      <c r="S38" s="31"/>
    </row>
    <row r="39" spans="2:19" s="12" customFormat="1" ht="75" x14ac:dyDescent="0.3">
      <c r="B39" s="63"/>
      <c r="C39" s="36" t="s">
        <v>316</v>
      </c>
      <c r="D39" s="23" t="s">
        <v>314</v>
      </c>
      <c r="E39" s="23" t="s">
        <v>137</v>
      </c>
      <c r="F39" s="23"/>
      <c r="G39" s="23"/>
      <c r="H39" s="18"/>
      <c r="I39" s="18"/>
      <c r="J39" s="18"/>
      <c r="K39" s="18"/>
      <c r="L39" s="18"/>
      <c r="M39" s="211"/>
      <c r="N39" s="17">
        <v>1</v>
      </c>
      <c r="O39" s="17">
        <v>0</v>
      </c>
      <c r="P39" s="14" t="s">
        <v>334</v>
      </c>
      <c r="Q39" s="25">
        <v>39458</v>
      </c>
      <c r="R39" s="30"/>
      <c r="S39" s="31"/>
    </row>
    <row r="40" spans="2:19" s="12" customFormat="1" ht="100" x14ac:dyDescent="0.3">
      <c r="B40" s="63"/>
      <c r="C40" s="36" t="s">
        <v>316</v>
      </c>
      <c r="D40" s="23" t="s">
        <v>314</v>
      </c>
      <c r="E40" s="23" t="s">
        <v>137</v>
      </c>
      <c r="F40" s="23"/>
      <c r="G40" s="23"/>
      <c r="H40" s="18"/>
      <c r="I40" s="18"/>
      <c r="J40" s="18"/>
      <c r="K40" s="18"/>
      <c r="L40" s="18"/>
      <c r="M40" s="211"/>
      <c r="N40" s="17">
        <v>0</v>
      </c>
      <c r="O40" s="17">
        <v>1</v>
      </c>
      <c r="P40" s="14" t="s">
        <v>333</v>
      </c>
      <c r="Q40" s="25">
        <v>39458</v>
      </c>
      <c r="R40" s="30"/>
      <c r="S40" s="31"/>
    </row>
    <row r="41" spans="2:19" s="12" customFormat="1" ht="50" x14ac:dyDescent="0.3">
      <c r="B41" s="63"/>
      <c r="C41" s="36" t="s">
        <v>313</v>
      </c>
      <c r="D41" s="23" t="s">
        <v>314</v>
      </c>
      <c r="E41" s="23" t="s">
        <v>137</v>
      </c>
      <c r="F41" s="23"/>
      <c r="G41" s="23"/>
      <c r="H41" s="18"/>
      <c r="I41" s="18"/>
      <c r="J41" s="18"/>
      <c r="K41" s="18"/>
      <c r="L41" s="18"/>
      <c r="M41" s="211"/>
      <c r="N41" s="17">
        <v>1</v>
      </c>
      <c r="O41" s="17">
        <v>0</v>
      </c>
      <c r="P41" s="14" t="s">
        <v>329</v>
      </c>
      <c r="Q41" s="25">
        <v>39458</v>
      </c>
      <c r="R41" s="30"/>
      <c r="S41" s="31"/>
    </row>
    <row r="42" spans="2:19" s="12" customFormat="1" ht="37.5" x14ac:dyDescent="0.3">
      <c r="B42" s="63"/>
      <c r="C42" s="36" t="s">
        <v>313</v>
      </c>
      <c r="D42" s="23" t="s">
        <v>314</v>
      </c>
      <c r="E42" s="23" t="s">
        <v>137</v>
      </c>
      <c r="F42" s="23"/>
      <c r="G42" s="23"/>
      <c r="H42" s="18"/>
      <c r="I42" s="18"/>
      <c r="J42" s="18"/>
      <c r="K42" s="18"/>
      <c r="L42" s="18"/>
      <c r="M42" s="211"/>
      <c r="N42" s="17">
        <v>0</v>
      </c>
      <c r="O42" s="17">
        <v>1</v>
      </c>
      <c r="P42" s="14" t="s">
        <v>331</v>
      </c>
      <c r="Q42" s="25">
        <v>39458</v>
      </c>
      <c r="R42" s="30"/>
      <c r="S42" s="31"/>
    </row>
    <row r="43" spans="2:19" s="12" customFormat="1" ht="137.5" x14ac:dyDescent="0.3">
      <c r="B43" s="63"/>
      <c r="C43" s="36" t="s">
        <v>315</v>
      </c>
      <c r="D43" s="23" t="s">
        <v>314</v>
      </c>
      <c r="E43" s="23" t="s">
        <v>137</v>
      </c>
      <c r="F43" s="23"/>
      <c r="G43" s="23"/>
      <c r="H43" s="18"/>
      <c r="I43" s="18"/>
      <c r="J43" s="18">
        <v>2.6</v>
      </c>
      <c r="K43" s="18"/>
      <c r="L43" s="18"/>
      <c r="M43" s="211"/>
      <c r="N43" s="17">
        <v>0</v>
      </c>
      <c r="O43" s="17">
        <v>11</v>
      </c>
      <c r="P43" s="14" t="s">
        <v>332</v>
      </c>
      <c r="Q43" s="25">
        <v>39458</v>
      </c>
      <c r="R43" s="30"/>
      <c r="S43" s="31"/>
    </row>
    <row r="44" spans="2:19" s="12" customFormat="1" ht="62.5" x14ac:dyDescent="0.3">
      <c r="B44" s="63"/>
      <c r="C44" s="36" t="s">
        <v>315</v>
      </c>
      <c r="D44" s="23" t="s">
        <v>314</v>
      </c>
      <c r="E44" s="23" t="s">
        <v>137</v>
      </c>
      <c r="F44" s="23"/>
      <c r="G44" s="23"/>
      <c r="H44" s="18"/>
      <c r="I44" s="18"/>
      <c r="J44" s="18">
        <v>2.6</v>
      </c>
      <c r="K44" s="18"/>
      <c r="L44" s="18"/>
      <c r="M44" s="211"/>
      <c r="N44" s="17">
        <v>1</v>
      </c>
      <c r="O44" s="17">
        <v>0</v>
      </c>
      <c r="P44" s="14" t="s">
        <v>330</v>
      </c>
      <c r="Q44" s="25">
        <v>39458</v>
      </c>
      <c r="R44" s="30"/>
      <c r="S44" s="31"/>
    </row>
    <row r="45" spans="2:19" s="12" customFormat="1" ht="25" x14ac:dyDescent="0.3">
      <c r="B45" s="63"/>
      <c r="C45" s="36">
        <v>38353</v>
      </c>
      <c r="D45" s="23" t="s">
        <v>136</v>
      </c>
      <c r="E45" s="23" t="s">
        <v>137</v>
      </c>
      <c r="F45" s="23"/>
      <c r="G45" s="23"/>
      <c r="H45" s="18"/>
      <c r="I45" s="18"/>
      <c r="J45" s="18"/>
      <c r="K45" s="18"/>
      <c r="L45" s="18"/>
      <c r="M45" s="211"/>
      <c r="N45" s="17">
        <v>0</v>
      </c>
      <c r="O45" s="17">
        <v>1</v>
      </c>
      <c r="P45" s="14" t="s">
        <v>160</v>
      </c>
      <c r="Q45" s="25">
        <v>38644</v>
      </c>
      <c r="R45" s="30"/>
      <c r="S45" s="31"/>
    </row>
    <row r="46" spans="2:19" s="12" customFormat="1" ht="75" x14ac:dyDescent="0.3">
      <c r="B46" s="63"/>
      <c r="C46" s="36">
        <v>38359</v>
      </c>
      <c r="D46" s="23" t="s">
        <v>136</v>
      </c>
      <c r="E46" s="23" t="s">
        <v>137</v>
      </c>
      <c r="F46" s="23"/>
      <c r="G46" s="23"/>
      <c r="H46" s="18"/>
      <c r="I46" s="18"/>
      <c r="J46" s="18"/>
      <c r="K46" s="18"/>
      <c r="L46" s="18"/>
      <c r="M46" s="211"/>
      <c r="N46" s="17">
        <v>0</v>
      </c>
      <c r="O46" s="17">
        <v>1</v>
      </c>
      <c r="P46" s="14" t="s">
        <v>140</v>
      </c>
      <c r="Q46" s="25">
        <v>38644</v>
      </c>
      <c r="R46" s="30"/>
      <c r="S46" s="31"/>
    </row>
    <row r="47" spans="2:19" s="12" customFormat="1" ht="37.5" x14ac:dyDescent="0.3">
      <c r="B47" s="63"/>
      <c r="C47" s="36" t="s">
        <v>324</v>
      </c>
      <c r="D47" s="23" t="s">
        <v>136</v>
      </c>
      <c r="E47" s="23" t="s">
        <v>137</v>
      </c>
      <c r="F47" s="23"/>
      <c r="G47" s="23"/>
      <c r="H47" s="18"/>
      <c r="I47" s="18"/>
      <c r="J47" s="18"/>
      <c r="K47" s="18"/>
      <c r="L47" s="18"/>
      <c r="M47" s="211"/>
      <c r="N47" s="17">
        <v>0</v>
      </c>
      <c r="O47" s="17">
        <v>1</v>
      </c>
      <c r="P47" s="14" t="s">
        <v>343</v>
      </c>
      <c r="Q47" s="25">
        <v>39459</v>
      </c>
      <c r="R47" s="30"/>
      <c r="S47" s="31"/>
    </row>
    <row r="48" spans="2:19" s="12" customFormat="1" ht="25" x14ac:dyDescent="0.3">
      <c r="B48" s="63"/>
      <c r="C48" s="36" t="s">
        <v>134</v>
      </c>
      <c r="D48" s="23" t="s">
        <v>136</v>
      </c>
      <c r="E48" s="23" t="s">
        <v>137</v>
      </c>
      <c r="F48" s="33"/>
      <c r="G48" s="33"/>
      <c r="H48" s="18"/>
      <c r="I48" s="18"/>
      <c r="J48" s="18"/>
      <c r="K48" s="17"/>
      <c r="L48" s="37"/>
      <c r="M48" s="209"/>
      <c r="N48" s="17">
        <v>0</v>
      </c>
      <c r="O48" s="17">
        <v>1</v>
      </c>
      <c r="P48" s="14" t="s">
        <v>138</v>
      </c>
      <c r="Q48" s="25">
        <v>38644</v>
      </c>
    </row>
    <row r="49" spans="1:19" s="12" customFormat="1" ht="37.5" x14ac:dyDescent="0.3">
      <c r="B49" s="63"/>
      <c r="C49" s="36" t="s">
        <v>306</v>
      </c>
      <c r="D49" s="23" t="s">
        <v>136</v>
      </c>
      <c r="E49" s="23" t="s">
        <v>137</v>
      </c>
      <c r="F49" s="23"/>
      <c r="G49" s="23"/>
      <c r="H49" s="18"/>
      <c r="I49" s="18"/>
      <c r="J49" s="18"/>
      <c r="K49" s="18"/>
      <c r="L49" s="18"/>
      <c r="M49" s="211"/>
      <c r="N49" s="17"/>
      <c r="O49" s="17"/>
      <c r="P49" s="14" t="s">
        <v>309</v>
      </c>
      <c r="Q49" s="25">
        <v>39435</v>
      </c>
      <c r="R49" s="30"/>
      <c r="S49" s="31"/>
    </row>
    <row r="50" spans="1:19" s="12" customFormat="1" ht="62.5" x14ac:dyDescent="0.3">
      <c r="B50" s="63"/>
      <c r="C50" s="36" t="s">
        <v>306</v>
      </c>
      <c r="D50" s="23" t="s">
        <v>191</v>
      </c>
      <c r="E50" s="23" t="s">
        <v>137</v>
      </c>
      <c r="F50" s="23"/>
      <c r="G50" s="23"/>
      <c r="H50" s="18"/>
      <c r="I50" s="18"/>
      <c r="J50" s="18"/>
      <c r="K50" s="18"/>
      <c r="L50" s="18"/>
      <c r="M50" s="211"/>
      <c r="N50" s="17"/>
      <c r="O50" s="17"/>
      <c r="P50" s="14" t="s">
        <v>308</v>
      </c>
      <c r="Q50" s="25">
        <v>39435</v>
      </c>
      <c r="R50" s="30"/>
      <c r="S50" s="31"/>
    </row>
    <row r="51" spans="1:19" s="12" customFormat="1" ht="87.5" x14ac:dyDescent="0.3">
      <c r="B51" s="63"/>
      <c r="C51" s="36" t="s">
        <v>307</v>
      </c>
      <c r="D51" s="23" t="s">
        <v>191</v>
      </c>
      <c r="E51" s="23" t="s">
        <v>137</v>
      </c>
      <c r="F51" s="23"/>
      <c r="G51" s="23"/>
      <c r="H51" s="18"/>
      <c r="I51" s="18"/>
      <c r="J51" s="18"/>
      <c r="K51" s="18"/>
      <c r="L51" s="18"/>
      <c r="M51" s="211"/>
      <c r="N51" s="17"/>
      <c r="O51" s="17"/>
      <c r="P51" s="14" t="s">
        <v>310</v>
      </c>
      <c r="Q51" s="25">
        <v>39435</v>
      </c>
      <c r="R51" s="30"/>
      <c r="S51" s="31"/>
    </row>
    <row r="52" spans="1:19" s="61" customFormat="1" ht="25" x14ac:dyDescent="0.3">
      <c r="B52" s="65"/>
      <c r="C52" s="54" t="s">
        <v>193</v>
      </c>
      <c r="D52" s="55" t="s">
        <v>418</v>
      </c>
      <c r="E52" s="55" t="s">
        <v>137</v>
      </c>
      <c r="F52" s="55"/>
      <c r="G52" s="55"/>
      <c r="H52" s="56"/>
      <c r="I52" s="56"/>
      <c r="J52" s="56"/>
      <c r="K52" s="56"/>
      <c r="L52" s="56"/>
      <c r="M52" s="239"/>
      <c r="N52" s="53">
        <f>SUM(N53:N54)</f>
        <v>1</v>
      </c>
      <c r="O52" s="53">
        <f>SUM(O53:O54)</f>
        <v>3</v>
      </c>
      <c r="P52" s="57" t="s">
        <v>419</v>
      </c>
      <c r="Q52" s="66">
        <v>39836</v>
      </c>
      <c r="R52" s="67"/>
      <c r="S52" s="68"/>
    </row>
    <row r="53" spans="1:19" s="12" customFormat="1" ht="88" x14ac:dyDescent="0.3">
      <c r="B53" s="69"/>
      <c r="C53" s="36" t="s">
        <v>431</v>
      </c>
      <c r="D53" s="23" t="s">
        <v>418</v>
      </c>
      <c r="E53" s="23" t="s">
        <v>137</v>
      </c>
      <c r="F53" s="23"/>
      <c r="G53" s="23"/>
      <c r="H53" s="18"/>
      <c r="I53" s="18"/>
      <c r="J53" s="18"/>
      <c r="K53" s="18"/>
      <c r="L53" s="18"/>
      <c r="M53" s="211"/>
      <c r="N53" s="17">
        <v>1</v>
      </c>
      <c r="O53" s="17">
        <v>0</v>
      </c>
      <c r="P53" s="14" t="s">
        <v>433</v>
      </c>
      <c r="Q53" s="25">
        <v>39871</v>
      </c>
      <c r="R53" s="30"/>
      <c r="S53" s="31"/>
    </row>
    <row r="54" spans="1:19" s="12" customFormat="1" ht="200.5" x14ac:dyDescent="0.3">
      <c r="B54" s="69"/>
      <c r="C54" s="36" t="s">
        <v>431</v>
      </c>
      <c r="D54" s="23" t="s">
        <v>418</v>
      </c>
      <c r="E54" s="23" t="s">
        <v>137</v>
      </c>
      <c r="F54" s="23"/>
      <c r="G54" s="23"/>
      <c r="H54" s="18"/>
      <c r="I54" s="18"/>
      <c r="J54" s="18"/>
      <c r="K54" s="18"/>
      <c r="L54" s="18"/>
      <c r="M54" s="211"/>
      <c r="N54" s="17">
        <v>0</v>
      </c>
      <c r="O54" s="17">
        <v>3</v>
      </c>
      <c r="P54" s="14" t="s">
        <v>432</v>
      </c>
      <c r="Q54" s="25">
        <v>39871</v>
      </c>
      <c r="R54" s="30"/>
      <c r="S54" s="31"/>
    </row>
    <row r="55" spans="1:19" s="12" customFormat="1" ht="37.5" x14ac:dyDescent="0.3">
      <c r="B55" s="69"/>
      <c r="C55" s="36" t="s">
        <v>456</v>
      </c>
      <c r="D55" s="23" t="s">
        <v>418</v>
      </c>
      <c r="E55" s="23" t="s">
        <v>137</v>
      </c>
      <c r="F55" s="23"/>
      <c r="G55" s="23"/>
      <c r="H55" s="18"/>
      <c r="I55" s="18"/>
      <c r="J55" s="18"/>
      <c r="K55" s="18"/>
      <c r="L55" s="18"/>
      <c r="M55" s="211"/>
      <c r="N55" s="17">
        <v>0</v>
      </c>
      <c r="O55" s="17">
        <v>1</v>
      </c>
      <c r="P55" s="14" t="s">
        <v>455</v>
      </c>
      <c r="Q55" s="25">
        <v>39954</v>
      </c>
      <c r="R55" s="30"/>
      <c r="S55" s="31"/>
    </row>
    <row r="56" spans="1:19" s="52" customFormat="1" ht="25" x14ac:dyDescent="0.3">
      <c r="B56" s="63"/>
      <c r="C56" s="36">
        <v>38499</v>
      </c>
      <c r="D56" s="23" t="s">
        <v>3</v>
      </c>
      <c r="E56" s="23" t="s">
        <v>137</v>
      </c>
      <c r="F56" s="23"/>
      <c r="G56" s="23"/>
      <c r="H56" s="18"/>
      <c r="I56" s="18"/>
      <c r="J56" s="18"/>
      <c r="K56" s="18"/>
      <c r="L56" s="18"/>
      <c r="M56" s="211"/>
      <c r="N56" s="17">
        <v>0</v>
      </c>
      <c r="O56" s="17">
        <v>1</v>
      </c>
      <c r="P56" s="14" t="s">
        <v>4</v>
      </c>
      <c r="Q56" s="25">
        <v>38644</v>
      </c>
      <c r="R56" s="30"/>
      <c r="S56" s="31"/>
    </row>
    <row r="57" spans="1:19" s="52" customFormat="1" ht="125" x14ac:dyDescent="0.3">
      <c r="A57" s="12"/>
      <c r="B57" s="63"/>
      <c r="C57" s="36">
        <v>40811</v>
      </c>
      <c r="D57" s="23" t="s">
        <v>736</v>
      </c>
      <c r="E57" s="23" t="s">
        <v>137</v>
      </c>
      <c r="F57" s="23"/>
      <c r="G57" s="23"/>
      <c r="H57" s="18"/>
      <c r="I57" s="18"/>
      <c r="J57" s="18"/>
      <c r="K57" s="18"/>
      <c r="L57" s="18"/>
      <c r="M57" s="211"/>
      <c r="N57" s="17">
        <v>0</v>
      </c>
      <c r="O57" s="17">
        <v>1</v>
      </c>
      <c r="P57" s="14" t="s">
        <v>737</v>
      </c>
      <c r="Q57" s="25">
        <v>40814</v>
      </c>
      <c r="R57" s="30"/>
      <c r="S57" s="31"/>
    </row>
    <row r="58" spans="1:19" ht="62.5" hidden="1" x14ac:dyDescent="0.3">
      <c r="B58" s="63"/>
      <c r="C58" s="36">
        <v>39777</v>
      </c>
      <c r="D58" s="2" t="s">
        <v>188</v>
      </c>
      <c r="E58" s="23" t="s">
        <v>189</v>
      </c>
      <c r="F58" s="23"/>
      <c r="G58" s="23"/>
      <c r="H58" s="18">
        <v>0.04</v>
      </c>
      <c r="I58" s="18">
        <v>0.04</v>
      </c>
      <c r="J58" s="18">
        <v>18.7</v>
      </c>
      <c r="K58" s="18">
        <f>-LOG((1/(I58*H58))*(2.511^(-J58)))/LOG(2.511)</f>
        <v>11.707620349372661</v>
      </c>
      <c r="L58" s="18"/>
      <c r="M58" s="211"/>
      <c r="N58" s="17">
        <v>0</v>
      </c>
      <c r="O58" s="17">
        <v>1</v>
      </c>
      <c r="P58" s="14" t="s">
        <v>190</v>
      </c>
      <c r="Q58" s="25">
        <v>39778</v>
      </c>
      <c r="R58" s="30"/>
      <c r="S58" s="31"/>
    </row>
    <row r="59" spans="1:19" ht="37.5" hidden="1" x14ac:dyDescent="0.3">
      <c r="B59" s="63"/>
      <c r="C59" s="36">
        <v>38602</v>
      </c>
      <c r="D59" s="2" t="s">
        <v>1</v>
      </c>
      <c r="E59" s="23" t="s">
        <v>189</v>
      </c>
      <c r="F59" s="23"/>
      <c r="G59" s="23"/>
      <c r="H59" s="18">
        <v>0.1</v>
      </c>
      <c r="I59" s="18">
        <v>0.1</v>
      </c>
      <c r="J59" s="18">
        <v>13.9</v>
      </c>
      <c r="K59" s="18">
        <f>-LOG((1/(I59*H59))*(2.511^(-J59)))/LOG(2.511)</f>
        <v>8.8980831743490238</v>
      </c>
      <c r="L59" s="18">
        <v>23</v>
      </c>
      <c r="M59" s="211"/>
      <c r="N59" s="17">
        <v>0</v>
      </c>
      <c r="O59" s="17">
        <v>1</v>
      </c>
      <c r="P59" s="14" t="s">
        <v>2</v>
      </c>
      <c r="Q59" s="25">
        <v>38644</v>
      </c>
      <c r="R59" s="30"/>
      <c r="S59" s="31"/>
    </row>
    <row r="60" spans="1:19" s="5" customFormat="1" ht="25" hidden="1" x14ac:dyDescent="0.25">
      <c r="B60" s="2"/>
      <c r="C60" s="36" t="s">
        <v>262</v>
      </c>
      <c r="D60" s="2" t="s">
        <v>261</v>
      </c>
      <c r="E60" s="2" t="s">
        <v>260</v>
      </c>
      <c r="F60" s="2"/>
      <c r="G60" s="2"/>
      <c r="H60" s="3"/>
      <c r="I60" s="3"/>
      <c r="J60" s="3"/>
      <c r="K60" s="3"/>
      <c r="L60" s="3"/>
      <c r="M60" s="139"/>
      <c r="N60" s="1">
        <v>1</v>
      </c>
      <c r="O60" s="1">
        <v>0</v>
      </c>
      <c r="P60" s="14" t="s">
        <v>265</v>
      </c>
      <c r="Q60" s="6">
        <v>39330</v>
      </c>
      <c r="R60" s="1"/>
      <c r="S60" s="1"/>
    </row>
    <row r="61" spans="1:19" s="12" customFormat="1" ht="50" hidden="1" x14ac:dyDescent="0.3">
      <c r="B61" s="22"/>
      <c r="C61" s="36" t="s">
        <v>263</v>
      </c>
      <c r="D61" s="2" t="s">
        <v>261</v>
      </c>
      <c r="E61" s="2" t="s">
        <v>260</v>
      </c>
      <c r="F61" s="22"/>
      <c r="G61" s="22"/>
      <c r="H61" s="13"/>
      <c r="I61" s="13"/>
      <c r="J61" s="13"/>
      <c r="K61" s="13"/>
      <c r="L61" s="13"/>
      <c r="M61" s="143"/>
      <c r="N61" s="5">
        <v>1</v>
      </c>
      <c r="O61" s="5">
        <v>0</v>
      </c>
      <c r="P61" s="14" t="s">
        <v>264</v>
      </c>
      <c r="Q61" s="6">
        <v>39330</v>
      </c>
      <c r="R61" s="5"/>
      <c r="S61" s="5"/>
    </row>
    <row r="62" spans="1:19" s="42" customFormat="1" ht="25" hidden="1" x14ac:dyDescent="0.25">
      <c r="B62" s="51"/>
      <c r="C62" s="43" t="s">
        <v>169</v>
      </c>
      <c r="D62" s="42" t="s">
        <v>168</v>
      </c>
      <c r="E62" s="23" t="s">
        <v>133</v>
      </c>
      <c r="F62" s="44" t="s">
        <v>270</v>
      </c>
      <c r="G62" s="44"/>
      <c r="H62" s="45"/>
      <c r="I62" s="45"/>
      <c r="J62" s="50"/>
      <c r="K62" s="46"/>
      <c r="L62" s="45"/>
      <c r="M62" s="142"/>
      <c r="N62" s="45">
        <v>1</v>
      </c>
      <c r="O62" s="45">
        <v>0</v>
      </c>
      <c r="P62" s="48" t="s">
        <v>177</v>
      </c>
      <c r="Q62" s="49">
        <v>39580</v>
      </c>
    </row>
    <row r="63" spans="1:19" s="42" customFormat="1" hidden="1" x14ac:dyDescent="0.25">
      <c r="B63" s="51"/>
      <c r="C63" s="43" t="s">
        <v>170</v>
      </c>
      <c r="D63" s="42" t="s">
        <v>168</v>
      </c>
      <c r="E63" s="23" t="s">
        <v>133</v>
      </c>
      <c r="F63" s="44" t="s">
        <v>270</v>
      </c>
      <c r="G63" s="44"/>
      <c r="H63" s="45"/>
      <c r="I63" s="45"/>
      <c r="J63" s="50"/>
      <c r="K63" s="46"/>
      <c r="L63" s="45"/>
      <c r="M63" s="142"/>
      <c r="N63" s="45">
        <v>1</v>
      </c>
      <c r="O63" s="45">
        <v>0</v>
      </c>
      <c r="P63" s="48" t="s">
        <v>176</v>
      </c>
      <c r="Q63" s="49">
        <v>39580</v>
      </c>
    </row>
    <row r="64" spans="1:19" s="42" customFormat="1" ht="37.5" hidden="1" x14ac:dyDescent="0.25">
      <c r="B64" s="51"/>
      <c r="C64" s="43" t="s">
        <v>172</v>
      </c>
      <c r="D64" s="42" t="s">
        <v>168</v>
      </c>
      <c r="E64" s="23" t="s">
        <v>133</v>
      </c>
      <c r="F64" s="44" t="s">
        <v>270</v>
      </c>
      <c r="G64" s="44">
        <v>0.42199999999999999</v>
      </c>
      <c r="H64" s="45">
        <v>7.64</v>
      </c>
      <c r="I64" s="45">
        <f>7.64/2</f>
        <v>3.82</v>
      </c>
      <c r="J64" s="50">
        <v>0.2</v>
      </c>
      <c r="K64" s="18">
        <f>-LOG((1/(I64*H64))*(2.511^(-J64)))/LOG(2.511)</f>
        <v>3.8642960287117223</v>
      </c>
      <c r="L64" s="45">
        <v>11.5</v>
      </c>
      <c r="M64" s="142"/>
      <c r="N64" s="45">
        <v>0</v>
      </c>
      <c r="O64" s="45">
        <v>1</v>
      </c>
      <c r="P64" s="48" t="s">
        <v>173</v>
      </c>
      <c r="Q64" s="49">
        <v>39580</v>
      </c>
    </row>
    <row r="65" spans="2:19" s="42" customFormat="1" ht="75" hidden="1" x14ac:dyDescent="0.25">
      <c r="B65" s="51"/>
      <c r="C65" s="43" t="s">
        <v>179</v>
      </c>
      <c r="D65" s="42" t="s">
        <v>168</v>
      </c>
      <c r="E65" s="23" t="s">
        <v>133</v>
      </c>
      <c r="F65" s="44" t="s">
        <v>270</v>
      </c>
      <c r="G65" s="44">
        <v>0.27400000000000002</v>
      </c>
      <c r="H65" s="45">
        <v>8.8699999999999992</v>
      </c>
      <c r="I65" s="45">
        <v>4.43</v>
      </c>
      <c r="J65" s="50">
        <v>1</v>
      </c>
      <c r="K65" s="18">
        <f>-LOG((1/(I65*H65))*(2.511^(-J65)))/LOG(2.511)</f>
        <v>4.987346388913477</v>
      </c>
      <c r="L65" s="45">
        <v>11.8</v>
      </c>
      <c r="M65" s="142"/>
      <c r="N65" s="45">
        <v>0</v>
      </c>
      <c r="O65" s="45">
        <v>1</v>
      </c>
      <c r="P65" s="48" t="s">
        <v>180</v>
      </c>
      <c r="Q65" s="49">
        <v>39588</v>
      </c>
    </row>
    <row r="66" spans="2:19" s="42" customFormat="1" ht="37.5" hidden="1" x14ac:dyDescent="0.25">
      <c r="B66" s="51"/>
      <c r="C66" s="36" t="s">
        <v>750</v>
      </c>
      <c r="D66" s="42" t="s">
        <v>168</v>
      </c>
      <c r="E66" s="23" t="s">
        <v>133</v>
      </c>
      <c r="F66" s="44" t="s">
        <v>178</v>
      </c>
      <c r="G66" s="44"/>
      <c r="H66" s="45"/>
      <c r="I66" s="45"/>
      <c r="J66" s="50"/>
      <c r="K66" s="46"/>
      <c r="L66" s="45"/>
      <c r="M66" s="142"/>
      <c r="N66" s="45">
        <v>1</v>
      </c>
      <c r="O66" s="45">
        <v>0</v>
      </c>
      <c r="P66" s="48" t="s">
        <v>175</v>
      </c>
      <c r="Q66" s="49">
        <v>39580</v>
      </c>
    </row>
    <row r="67" spans="2:19" s="17" customFormat="1" ht="62.5" hidden="1" x14ac:dyDescent="0.25">
      <c r="B67" s="51"/>
      <c r="C67" s="36">
        <v>40977.049305555556</v>
      </c>
      <c r="D67" s="42" t="s">
        <v>168</v>
      </c>
      <c r="E67" s="23" t="s">
        <v>133</v>
      </c>
      <c r="F67" s="44" t="s">
        <v>178</v>
      </c>
      <c r="G67" s="241">
        <v>0.3</v>
      </c>
      <c r="H67" s="242">
        <v>8.1999999999999993</v>
      </c>
      <c r="I67" s="45">
        <f>H67*G67</f>
        <v>2.4599999999999995</v>
      </c>
      <c r="J67" s="50">
        <v>0.4</v>
      </c>
      <c r="K67" s="18">
        <f>-LOG((1/(I67*H67))*(2.511^(-J67)))/LOG(2.511)</f>
        <v>3.6631228868545556</v>
      </c>
      <c r="L67" s="45">
        <v>15</v>
      </c>
      <c r="M67" s="142">
        <v>0.4</v>
      </c>
      <c r="N67" s="45">
        <v>0</v>
      </c>
      <c r="O67" s="45">
        <v>1</v>
      </c>
      <c r="P67" s="44" t="s">
        <v>757</v>
      </c>
      <c r="Q67" s="49">
        <v>41027</v>
      </c>
      <c r="R67" s="42"/>
      <c r="S67" s="42"/>
    </row>
    <row r="68" spans="2:19" s="17" customFormat="1" hidden="1" x14ac:dyDescent="0.25">
      <c r="B68" s="51"/>
      <c r="C68" s="36">
        <v>40975.041666666664</v>
      </c>
      <c r="D68" s="42" t="s">
        <v>168</v>
      </c>
      <c r="E68" s="23" t="s">
        <v>133</v>
      </c>
      <c r="F68" s="44" t="s">
        <v>178</v>
      </c>
      <c r="G68" s="44"/>
      <c r="H68" s="45"/>
      <c r="I68" s="45"/>
      <c r="J68" s="50"/>
      <c r="K68" s="46"/>
      <c r="L68" s="45"/>
      <c r="M68" s="142"/>
      <c r="N68" s="45">
        <v>1</v>
      </c>
      <c r="O68" s="45">
        <v>0</v>
      </c>
      <c r="P68" s="48" t="s">
        <v>174</v>
      </c>
      <c r="Q68" s="49">
        <v>39580</v>
      </c>
      <c r="R68" s="42"/>
      <c r="S68" s="42"/>
    </row>
    <row r="69" spans="2:19" s="17" customFormat="1" hidden="1" x14ac:dyDescent="0.25">
      <c r="B69" s="51"/>
      <c r="C69" s="43" t="s">
        <v>171</v>
      </c>
      <c r="D69" s="42" t="s">
        <v>168</v>
      </c>
      <c r="E69" s="23" t="s">
        <v>133</v>
      </c>
      <c r="F69" s="44" t="s">
        <v>178</v>
      </c>
      <c r="G69" s="44"/>
      <c r="H69" s="45"/>
      <c r="I69" s="45"/>
      <c r="J69" s="50"/>
      <c r="K69" s="46"/>
      <c r="L69" s="45"/>
      <c r="M69" s="142"/>
      <c r="N69" s="45">
        <v>1</v>
      </c>
      <c r="O69" s="45">
        <v>0</v>
      </c>
      <c r="P69" s="48" t="s">
        <v>174</v>
      </c>
      <c r="Q69" s="49">
        <v>39580</v>
      </c>
      <c r="R69" s="42"/>
      <c r="S69" s="42"/>
    </row>
    <row r="70" spans="2:19" ht="75" hidden="1" x14ac:dyDescent="0.25">
      <c r="C70" s="36">
        <v>34574.15625</v>
      </c>
      <c r="D70" s="2" t="s">
        <v>410</v>
      </c>
      <c r="E70" s="2" t="s">
        <v>133</v>
      </c>
      <c r="F70" s="2" t="s">
        <v>178</v>
      </c>
      <c r="N70" s="1">
        <v>0</v>
      </c>
      <c r="O70" s="1">
        <v>1</v>
      </c>
      <c r="P70" s="29" t="s">
        <v>696</v>
      </c>
      <c r="Q70" s="4">
        <v>40560</v>
      </c>
    </row>
    <row r="71" spans="2:19" ht="37.5" hidden="1" x14ac:dyDescent="0.25">
      <c r="C71" s="36">
        <v>34602.145833333336</v>
      </c>
      <c r="D71" s="2" t="s">
        <v>410</v>
      </c>
      <c r="E71" s="2" t="s">
        <v>133</v>
      </c>
      <c r="F71" s="2" t="s">
        <v>178</v>
      </c>
      <c r="N71" s="1">
        <v>0</v>
      </c>
      <c r="O71" s="1">
        <v>1</v>
      </c>
      <c r="P71" s="29" t="s">
        <v>697</v>
      </c>
      <c r="Q71" s="4">
        <v>40560</v>
      </c>
    </row>
    <row r="72" spans="2:19" ht="50" hidden="1" x14ac:dyDescent="0.25">
      <c r="C72" s="36">
        <v>34639.045138888891</v>
      </c>
      <c r="D72" s="2" t="s">
        <v>410</v>
      </c>
      <c r="E72" s="2" t="s">
        <v>133</v>
      </c>
      <c r="F72" s="2" t="s">
        <v>178</v>
      </c>
      <c r="N72" s="1">
        <v>0</v>
      </c>
      <c r="O72" s="1">
        <v>3</v>
      </c>
      <c r="P72" s="29" t="s">
        <v>699</v>
      </c>
      <c r="Q72" s="4">
        <v>40560</v>
      </c>
    </row>
    <row r="73" spans="2:19" ht="50" hidden="1" x14ac:dyDescent="0.25">
      <c r="C73" s="36">
        <v>34640.040972222225</v>
      </c>
      <c r="D73" s="2" t="s">
        <v>410</v>
      </c>
      <c r="E73" s="2" t="s">
        <v>133</v>
      </c>
      <c r="F73" s="2" t="s">
        <v>178</v>
      </c>
      <c r="N73" s="1">
        <v>0</v>
      </c>
      <c r="O73" s="1">
        <v>3</v>
      </c>
      <c r="P73" s="29" t="s">
        <v>698</v>
      </c>
      <c r="Q73" s="4">
        <v>40560</v>
      </c>
    </row>
    <row r="74" spans="2:19" s="17" customFormat="1" ht="25" hidden="1" x14ac:dyDescent="0.3">
      <c r="B74" s="63"/>
      <c r="C74" s="36">
        <v>38224</v>
      </c>
      <c r="D74" s="23" t="s">
        <v>410</v>
      </c>
      <c r="E74" s="23" t="s">
        <v>133</v>
      </c>
      <c r="G74" s="23"/>
      <c r="H74" s="18">
        <v>2.5</v>
      </c>
      <c r="I74" s="18">
        <v>2.5</v>
      </c>
      <c r="J74" s="18">
        <v>7.8</v>
      </c>
      <c r="K74" s="18">
        <f>-LOG((1/(I74*H74))*(2.511^(-J74)))/LOG(2.511)</f>
        <v>9.7904628249763608</v>
      </c>
      <c r="L74" s="18">
        <v>21</v>
      </c>
      <c r="M74" s="210"/>
      <c r="N74" s="17">
        <v>0</v>
      </c>
      <c r="O74" s="17">
        <v>1</v>
      </c>
      <c r="P74" s="14" t="s">
        <v>411</v>
      </c>
      <c r="Q74" s="25">
        <v>38644</v>
      </c>
      <c r="R74" s="30"/>
      <c r="S74" s="31"/>
    </row>
    <row r="75" spans="2:19" s="17" customFormat="1" ht="25" hidden="1" x14ac:dyDescent="0.3">
      <c r="B75" s="63"/>
      <c r="C75" s="36">
        <v>38253</v>
      </c>
      <c r="D75" s="23" t="s">
        <v>410</v>
      </c>
      <c r="E75" s="23" t="s">
        <v>133</v>
      </c>
      <c r="F75" s="12"/>
      <c r="G75" s="30"/>
      <c r="H75" s="33">
        <v>2.5</v>
      </c>
      <c r="I75" s="18">
        <v>2.5</v>
      </c>
      <c r="J75" s="18">
        <v>7.9</v>
      </c>
      <c r="K75" s="18">
        <f>-LOG((1/(I75*H75))*(2.511^(-J75)))/LOG(2.511)</f>
        <v>9.8904628249763622</v>
      </c>
      <c r="L75" s="18">
        <v>32</v>
      </c>
      <c r="M75" s="210"/>
      <c r="N75" s="17">
        <v>0</v>
      </c>
      <c r="O75" s="17">
        <v>1</v>
      </c>
      <c r="P75" s="14" t="s">
        <v>411</v>
      </c>
      <c r="Q75" s="25">
        <v>38644</v>
      </c>
      <c r="R75" s="12"/>
      <c r="S75" s="12"/>
    </row>
    <row r="76" spans="2:19" s="17" customFormat="1" ht="25" hidden="1" x14ac:dyDescent="0.25">
      <c r="B76" s="23"/>
      <c r="C76" s="36">
        <v>38963</v>
      </c>
      <c r="D76" s="23" t="s">
        <v>410</v>
      </c>
      <c r="E76" s="23" t="s">
        <v>133</v>
      </c>
      <c r="F76" s="23"/>
      <c r="G76" s="23"/>
      <c r="H76" s="18"/>
      <c r="I76" s="18"/>
      <c r="J76" s="18"/>
      <c r="K76" s="18"/>
      <c r="L76" s="18"/>
      <c r="M76" s="207"/>
      <c r="N76" s="17">
        <v>0</v>
      </c>
      <c r="O76" s="17">
        <v>0</v>
      </c>
      <c r="P76" s="14" t="s">
        <v>700</v>
      </c>
      <c r="Q76" s="19">
        <v>40560</v>
      </c>
    </row>
    <row r="77" spans="2:19" s="17" customFormat="1" ht="75" hidden="1" x14ac:dyDescent="0.25">
      <c r="B77" s="23"/>
      <c r="C77" s="36">
        <v>39771</v>
      </c>
      <c r="D77" s="23" t="s">
        <v>410</v>
      </c>
      <c r="E77" s="23" t="s">
        <v>133</v>
      </c>
      <c r="F77" s="23"/>
      <c r="G77" s="23"/>
      <c r="H77" s="18">
        <v>2.4</v>
      </c>
      <c r="I77" s="18">
        <v>2.4</v>
      </c>
      <c r="J77" s="18">
        <v>7.9</v>
      </c>
      <c r="K77" s="18">
        <f>-LOG((1/(I77*H77))*(2.511^(-J77)))/LOG(2.511)</f>
        <v>9.8017850072189336</v>
      </c>
      <c r="L77" s="18">
        <v>32</v>
      </c>
      <c r="M77" s="207"/>
      <c r="N77" s="17">
        <v>0</v>
      </c>
      <c r="O77" s="17">
        <v>0</v>
      </c>
      <c r="P77" s="14" t="s">
        <v>184</v>
      </c>
      <c r="Q77" s="19">
        <v>39772</v>
      </c>
    </row>
    <row r="78" spans="2:19" s="17" customFormat="1" ht="125" hidden="1" x14ac:dyDescent="0.25">
      <c r="B78" s="23"/>
      <c r="C78" s="36">
        <v>39771</v>
      </c>
      <c r="D78" s="23" t="s">
        <v>410</v>
      </c>
      <c r="E78" s="23" t="s">
        <v>133</v>
      </c>
      <c r="F78" s="23"/>
      <c r="G78" s="23"/>
      <c r="H78" s="18">
        <v>2.4</v>
      </c>
      <c r="I78" s="18">
        <v>2.4</v>
      </c>
      <c r="J78" s="18">
        <v>7.9</v>
      </c>
      <c r="K78" s="18">
        <f>-LOG((1/(I78*H78))*(2.511^(-J78)))/LOG(2.511)</f>
        <v>9.8017850072189336</v>
      </c>
      <c r="L78" s="18">
        <v>32</v>
      </c>
      <c r="M78" s="207"/>
      <c r="N78" s="17">
        <v>1</v>
      </c>
      <c r="O78" s="17">
        <v>0</v>
      </c>
      <c r="P78" s="14" t="s">
        <v>185</v>
      </c>
      <c r="Q78" s="19">
        <v>39772</v>
      </c>
    </row>
    <row r="79" spans="2:19" s="17" customFormat="1" ht="62.5" hidden="1" x14ac:dyDescent="0.25">
      <c r="B79" s="23"/>
      <c r="C79" s="106">
        <v>40888.158333333333</v>
      </c>
      <c r="D79" s="23" t="s">
        <v>410</v>
      </c>
      <c r="E79" s="23" t="s">
        <v>133</v>
      </c>
      <c r="F79" s="23"/>
      <c r="G79" s="23"/>
      <c r="H79" s="18">
        <v>2.2999999999999998</v>
      </c>
      <c r="I79" s="18">
        <v>2.2999999999999998</v>
      </c>
      <c r="J79" s="18">
        <v>7.9</v>
      </c>
      <c r="K79" s="18">
        <f>-LOG((1/(I79*H79))*(2.511^(-J79)))/LOG(2.511)</f>
        <v>9.7093325492827169</v>
      </c>
      <c r="L79" s="18">
        <v>12</v>
      </c>
      <c r="M79" s="207">
        <v>0.8</v>
      </c>
      <c r="N79" s="17">
        <v>0</v>
      </c>
      <c r="O79" s="17">
        <v>1</v>
      </c>
      <c r="P79" s="51" t="s">
        <v>747</v>
      </c>
      <c r="Q79" s="178">
        <v>42321</v>
      </c>
    </row>
    <row r="80" spans="2:19" s="5" customFormat="1" hidden="1" x14ac:dyDescent="0.25">
      <c r="B80" s="23"/>
      <c r="C80" s="36">
        <v>38648</v>
      </c>
      <c r="D80" s="23" t="s">
        <v>161</v>
      </c>
      <c r="E80" s="23" t="s">
        <v>210</v>
      </c>
      <c r="F80" s="23"/>
      <c r="G80" s="23"/>
      <c r="H80" s="18"/>
      <c r="I80" s="18"/>
      <c r="J80" s="18"/>
      <c r="K80" s="18"/>
      <c r="L80" s="18"/>
      <c r="M80" s="140"/>
      <c r="N80" s="17"/>
      <c r="O80" s="17"/>
      <c r="P80" s="16"/>
      <c r="Q80" s="25">
        <v>38657</v>
      </c>
      <c r="R80" s="17"/>
      <c r="S80" s="17"/>
    </row>
    <row r="81" spans="1:19" s="15" customFormat="1" ht="13" hidden="1" x14ac:dyDescent="0.25">
      <c r="B81" s="23"/>
      <c r="C81" s="36">
        <v>38657</v>
      </c>
      <c r="D81" s="23" t="s">
        <v>161</v>
      </c>
      <c r="E81" s="23" t="s">
        <v>210</v>
      </c>
      <c r="F81" s="23"/>
      <c r="G81" s="23"/>
      <c r="H81" s="18"/>
      <c r="I81" s="18"/>
      <c r="J81" s="18"/>
      <c r="K81" s="18"/>
      <c r="L81" s="18"/>
      <c r="M81" s="140"/>
      <c r="N81" s="17"/>
      <c r="O81" s="17"/>
      <c r="Q81" s="25">
        <v>38660</v>
      </c>
      <c r="R81" s="17"/>
      <c r="S81" s="17"/>
    </row>
    <row r="82" spans="1:19" s="15" customFormat="1" ht="112.5" hidden="1" x14ac:dyDescent="0.25">
      <c r="B82" s="23"/>
      <c r="C82" s="36">
        <v>28173</v>
      </c>
      <c r="D82" s="23" t="s">
        <v>480</v>
      </c>
      <c r="E82" s="23" t="s">
        <v>210</v>
      </c>
      <c r="F82" s="23" t="s">
        <v>703</v>
      </c>
      <c r="G82" s="29" t="s">
        <v>482</v>
      </c>
      <c r="H82" s="18"/>
      <c r="I82" s="18"/>
      <c r="J82" s="18"/>
      <c r="K82" s="18"/>
      <c r="L82" s="18"/>
      <c r="M82" s="140"/>
      <c r="N82" s="17">
        <v>1</v>
      </c>
      <c r="O82" s="17">
        <v>0</v>
      </c>
      <c r="P82" s="14" t="s">
        <v>709</v>
      </c>
      <c r="Q82" s="25">
        <v>40564</v>
      </c>
      <c r="R82" s="17"/>
      <c r="S82" s="17"/>
    </row>
    <row r="83" spans="1:19" s="15" customFormat="1" ht="112.5" hidden="1" x14ac:dyDescent="0.25">
      <c r="B83" s="23"/>
      <c r="C83" s="36">
        <v>28174</v>
      </c>
      <c r="D83" s="23" t="s">
        <v>480</v>
      </c>
      <c r="E83" s="23" t="s">
        <v>210</v>
      </c>
      <c r="F83" s="23" t="s">
        <v>703</v>
      </c>
      <c r="G83" s="29" t="s">
        <v>482</v>
      </c>
      <c r="H83" s="18"/>
      <c r="I83" s="18"/>
      <c r="J83" s="18"/>
      <c r="K83" s="18"/>
      <c r="L83" s="18"/>
      <c r="M83" s="140"/>
      <c r="N83" s="17">
        <v>1</v>
      </c>
      <c r="O83" s="17">
        <v>0</v>
      </c>
      <c r="P83" s="14" t="s">
        <v>709</v>
      </c>
      <c r="Q83" s="25">
        <v>40564</v>
      </c>
      <c r="R83" s="17"/>
      <c r="S83" s="17"/>
    </row>
    <row r="84" spans="1:19" s="15" customFormat="1" ht="112.5" hidden="1" x14ac:dyDescent="0.25">
      <c r="B84" s="23"/>
      <c r="C84" s="36">
        <v>28175</v>
      </c>
      <c r="D84" s="23" t="s">
        <v>480</v>
      </c>
      <c r="E84" s="23" t="s">
        <v>210</v>
      </c>
      <c r="F84" s="23" t="s">
        <v>703</v>
      </c>
      <c r="G84" s="29" t="s">
        <v>482</v>
      </c>
      <c r="H84" s="18"/>
      <c r="I84" s="18"/>
      <c r="J84" s="18"/>
      <c r="K84" s="18"/>
      <c r="L84" s="18"/>
      <c r="M84" s="140"/>
      <c r="N84" s="17">
        <v>1</v>
      </c>
      <c r="O84" s="17">
        <v>0</v>
      </c>
      <c r="P84" s="14" t="s">
        <v>709</v>
      </c>
      <c r="Q84" s="25">
        <v>40564</v>
      </c>
      <c r="R84" s="17"/>
      <c r="S84" s="17"/>
    </row>
    <row r="85" spans="1:19" s="15" customFormat="1" ht="112.5" hidden="1" x14ac:dyDescent="0.25">
      <c r="B85" s="23"/>
      <c r="C85" s="36">
        <v>28177</v>
      </c>
      <c r="D85" s="23" t="s">
        <v>480</v>
      </c>
      <c r="E85" s="23" t="s">
        <v>210</v>
      </c>
      <c r="F85" s="23" t="s">
        <v>703</v>
      </c>
      <c r="G85" s="29" t="s">
        <v>482</v>
      </c>
      <c r="H85" s="18"/>
      <c r="I85" s="18"/>
      <c r="J85" s="18"/>
      <c r="K85" s="18"/>
      <c r="L85" s="18"/>
      <c r="M85" s="140"/>
      <c r="N85" s="17">
        <v>1</v>
      </c>
      <c r="O85" s="17">
        <v>0</v>
      </c>
      <c r="P85" s="14" t="s">
        <v>709</v>
      </c>
      <c r="Q85" s="25">
        <v>40564</v>
      </c>
      <c r="R85" s="17"/>
      <c r="S85" s="17"/>
    </row>
    <row r="86" spans="1:19" s="15" customFormat="1" ht="13" hidden="1" x14ac:dyDescent="0.25">
      <c r="B86" s="23"/>
      <c r="C86" s="36">
        <v>28490</v>
      </c>
      <c r="D86" s="23" t="s">
        <v>480</v>
      </c>
      <c r="E86" s="23" t="s">
        <v>210</v>
      </c>
      <c r="F86" s="23"/>
      <c r="G86" s="29" t="s">
        <v>482</v>
      </c>
      <c r="H86" s="18"/>
      <c r="I86" s="18"/>
      <c r="J86" s="18"/>
      <c r="K86" s="18"/>
      <c r="L86" s="18"/>
      <c r="M86" s="140"/>
      <c r="N86" s="17">
        <v>1</v>
      </c>
      <c r="O86" s="17">
        <v>0</v>
      </c>
      <c r="P86" s="14" t="s">
        <v>713</v>
      </c>
      <c r="Q86" s="25">
        <v>40564</v>
      </c>
      <c r="R86" s="17"/>
      <c r="S86" s="17"/>
    </row>
    <row r="87" spans="1:19" s="15" customFormat="1" ht="13" hidden="1" x14ac:dyDescent="0.25">
      <c r="B87" s="23"/>
      <c r="C87" s="36">
        <v>28505</v>
      </c>
      <c r="D87" s="23" t="s">
        <v>480</v>
      </c>
      <c r="E87" s="23" t="s">
        <v>210</v>
      </c>
      <c r="F87" s="23"/>
      <c r="G87" s="29" t="s">
        <v>482</v>
      </c>
      <c r="H87" s="18"/>
      <c r="I87" s="18"/>
      <c r="J87" s="18"/>
      <c r="K87" s="18"/>
      <c r="L87" s="18"/>
      <c r="M87" s="140"/>
      <c r="N87" s="17">
        <v>1</v>
      </c>
      <c r="O87" s="17">
        <v>0</v>
      </c>
      <c r="P87" s="14" t="s">
        <v>713</v>
      </c>
      <c r="Q87" s="25">
        <v>40564</v>
      </c>
      <c r="R87" s="17"/>
      <c r="S87" s="17"/>
    </row>
    <row r="88" spans="1:19" s="15" customFormat="1" ht="13" hidden="1" x14ac:dyDescent="0.25">
      <c r="B88" s="23"/>
      <c r="C88" s="36">
        <v>28704</v>
      </c>
      <c r="D88" s="23" t="s">
        <v>480</v>
      </c>
      <c r="E88" s="23" t="s">
        <v>210</v>
      </c>
      <c r="F88" s="23" t="s">
        <v>708</v>
      </c>
      <c r="G88" s="29" t="s">
        <v>482</v>
      </c>
      <c r="H88" s="18"/>
      <c r="I88" s="18"/>
      <c r="J88" s="18"/>
      <c r="K88" s="18"/>
      <c r="L88" s="18"/>
      <c r="M88" s="140"/>
      <c r="N88" s="17">
        <v>1</v>
      </c>
      <c r="O88" s="17">
        <v>0</v>
      </c>
      <c r="P88" s="14"/>
      <c r="Q88" s="25">
        <v>40564</v>
      </c>
      <c r="R88" s="17"/>
      <c r="S88" s="17"/>
    </row>
    <row r="89" spans="1:19" s="15" customFormat="1" ht="13" hidden="1" x14ac:dyDescent="0.25">
      <c r="B89" s="23"/>
      <c r="C89" s="36">
        <v>28705</v>
      </c>
      <c r="D89" s="23" t="s">
        <v>480</v>
      </c>
      <c r="E89" s="23" t="s">
        <v>210</v>
      </c>
      <c r="F89" s="23" t="s">
        <v>708</v>
      </c>
      <c r="G89" s="29" t="s">
        <v>482</v>
      </c>
      <c r="H89" s="18"/>
      <c r="I89" s="18"/>
      <c r="J89" s="18"/>
      <c r="K89" s="18"/>
      <c r="L89" s="18"/>
      <c r="M89" s="140"/>
      <c r="N89" s="17">
        <v>1</v>
      </c>
      <c r="O89" s="17">
        <v>0</v>
      </c>
      <c r="P89" s="14"/>
      <c r="Q89" s="25">
        <v>40564</v>
      </c>
      <c r="R89" s="17"/>
      <c r="S89" s="17"/>
    </row>
    <row r="90" spans="1:19" s="15" customFormat="1" ht="13" hidden="1" x14ac:dyDescent="0.25">
      <c r="B90" s="23"/>
      <c r="C90" s="36">
        <v>28705</v>
      </c>
      <c r="D90" s="23" t="s">
        <v>710</v>
      </c>
      <c r="E90" s="23"/>
      <c r="F90" s="23"/>
      <c r="G90" s="29"/>
      <c r="H90" s="18"/>
      <c r="I90" s="18"/>
      <c r="J90" s="18"/>
      <c r="K90" s="18"/>
      <c r="L90" s="18"/>
      <c r="M90" s="140"/>
      <c r="N90" s="17">
        <v>1</v>
      </c>
      <c r="O90" s="17">
        <v>0</v>
      </c>
      <c r="P90" s="14" t="s">
        <v>711</v>
      </c>
      <c r="Q90" s="25">
        <v>40564</v>
      </c>
      <c r="R90" s="17"/>
      <c r="S90" s="17"/>
    </row>
    <row r="91" spans="1:19" s="15" customFormat="1" ht="13" hidden="1" x14ac:dyDescent="0.25">
      <c r="B91" s="23"/>
      <c r="C91" s="36">
        <v>28706</v>
      </c>
      <c r="D91" s="23" t="s">
        <v>480</v>
      </c>
      <c r="E91" s="23" t="s">
        <v>210</v>
      </c>
      <c r="F91" s="23" t="s">
        <v>708</v>
      </c>
      <c r="G91" s="29" t="s">
        <v>482</v>
      </c>
      <c r="H91" s="18"/>
      <c r="I91" s="18"/>
      <c r="J91" s="18"/>
      <c r="K91" s="18"/>
      <c r="L91" s="18"/>
      <c r="M91" s="140"/>
      <c r="N91" s="17">
        <v>1</v>
      </c>
      <c r="O91" s="17">
        <v>0</v>
      </c>
      <c r="P91" s="14"/>
      <c r="Q91" s="25">
        <v>40564</v>
      </c>
      <c r="R91" s="17"/>
      <c r="S91" s="17"/>
    </row>
    <row r="92" spans="1:19" s="15" customFormat="1" ht="13" hidden="1" x14ac:dyDescent="0.25">
      <c r="B92" s="23"/>
      <c r="C92" s="36">
        <v>28706</v>
      </c>
      <c r="D92" s="23" t="s">
        <v>710</v>
      </c>
      <c r="E92" s="23"/>
      <c r="F92" s="23"/>
      <c r="G92" s="29"/>
      <c r="H92" s="18"/>
      <c r="I92" s="18"/>
      <c r="J92" s="18"/>
      <c r="K92" s="18"/>
      <c r="L92" s="18"/>
      <c r="M92" s="140"/>
      <c r="N92" s="17">
        <v>1</v>
      </c>
      <c r="O92" s="17">
        <v>0</v>
      </c>
      <c r="P92" s="14" t="s">
        <v>711</v>
      </c>
      <c r="Q92" s="25">
        <v>40564</v>
      </c>
      <c r="R92" s="17"/>
      <c r="S92" s="17"/>
    </row>
    <row r="93" spans="1:19" s="15" customFormat="1" ht="13" hidden="1" x14ac:dyDescent="0.25">
      <c r="B93" s="23"/>
      <c r="C93" s="36">
        <v>28707</v>
      </c>
      <c r="D93" s="23" t="s">
        <v>480</v>
      </c>
      <c r="E93" s="23" t="s">
        <v>210</v>
      </c>
      <c r="F93" s="23" t="s">
        <v>708</v>
      </c>
      <c r="G93" s="29" t="s">
        <v>482</v>
      </c>
      <c r="H93" s="18"/>
      <c r="I93" s="18"/>
      <c r="J93" s="18"/>
      <c r="K93" s="18"/>
      <c r="L93" s="18"/>
      <c r="M93" s="140"/>
      <c r="N93" s="17">
        <v>1</v>
      </c>
      <c r="O93" s="17">
        <v>0</v>
      </c>
      <c r="P93" s="14" t="s">
        <v>711</v>
      </c>
      <c r="Q93" s="25">
        <v>40564</v>
      </c>
      <c r="R93" s="17"/>
      <c r="S93" s="17"/>
    </row>
    <row r="94" spans="1:19" s="15" customFormat="1" ht="13" hidden="1" x14ac:dyDescent="0.25">
      <c r="B94" s="23"/>
      <c r="C94" s="36">
        <v>28762</v>
      </c>
      <c r="D94" s="23" t="s">
        <v>710</v>
      </c>
      <c r="E94" s="23"/>
      <c r="F94" s="23"/>
      <c r="G94" s="29"/>
      <c r="H94" s="18"/>
      <c r="I94" s="18"/>
      <c r="J94" s="18"/>
      <c r="K94" s="18"/>
      <c r="L94" s="18"/>
      <c r="M94" s="140"/>
      <c r="N94" s="17">
        <v>1</v>
      </c>
      <c r="O94" s="17">
        <v>0</v>
      </c>
      <c r="P94" s="14" t="s">
        <v>712</v>
      </c>
      <c r="Q94" s="25">
        <v>40564</v>
      </c>
      <c r="R94" s="17"/>
      <c r="S94" s="17"/>
    </row>
    <row r="95" spans="1:19" ht="62.5" hidden="1" x14ac:dyDescent="0.25">
      <c r="A95" s="16" t="s">
        <v>446</v>
      </c>
      <c r="C95" s="36">
        <v>40191.791666666664</v>
      </c>
      <c r="D95" s="29" t="s">
        <v>480</v>
      </c>
      <c r="E95" s="2" t="s">
        <v>210</v>
      </c>
      <c r="F95" s="29" t="s">
        <v>704</v>
      </c>
      <c r="G95" s="29" t="s">
        <v>482</v>
      </c>
      <c r="N95" s="1">
        <v>1</v>
      </c>
      <c r="O95" s="1">
        <v>0</v>
      </c>
      <c r="P95" s="29" t="s">
        <v>481</v>
      </c>
      <c r="Q95" s="4">
        <v>40193</v>
      </c>
    </row>
    <row r="96" spans="1:19" ht="62.5" hidden="1" x14ac:dyDescent="0.25">
      <c r="A96" s="16" t="s">
        <v>446</v>
      </c>
      <c r="C96" s="36">
        <v>40193.802083333336</v>
      </c>
      <c r="D96" s="29" t="s">
        <v>480</v>
      </c>
      <c r="E96" s="2" t="s">
        <v>210</v>
      </c>
      <c r="F96" s="29" t="s">
        <v>704</v>
      </c>
      <c r="G96" s="29" t="s">
        <v>483</v>
      </c>
      <c r="N96" s="1">
        <v>0</v>
      </c>
      <c r="O96" s="1">
        <v>1</v>
      </c>
      <c r="P96" s="29" t="s">
        <v>484</v>
      </c>
      <c r="Q96" s="4">
        <v>40193</v>
      </c>
    </row>
    <row r="97" spans="1:17" ht="75" hidden="1" x14ac:dyDescent="0.25">
      <c r="A97" s="16" t="s">
        <v>446</v>
      </c>
      <c r="C97" s="36">
        <v>40194.802083333336</v>
      </c>
      <c r="D97" s="29" t="s">
        <v>480</v>
      </c>
      <c r="E97" s="2" t="s">
        <v>210</v>
      </c>
      <c r="F97" s="29" t="s">
        <v>704</v>
      </c>
      <c r="G97" s="29" t="s">
        <v>483</v>
      </c>
      <c r="N97" s="1">
        <v>1</v>
      </c>
      <c r="O97" s="1">
        <v>1</v>
      </c>
      <c r="P97" s="29" t="s">
        <v>485</v>
      </c>
      <c r="Q97" s="4">
        <v>40204</v>
      </c>
    </row>
    <row r="98" spans="1:17" ht="125" hidden="1" x14ac:dyDescent="0.25">
      <c r="A98" s="16" t="s">
        <v>488</v>
      </c>
      <c r="C98" s="36">
        <v>40218.802083333336</v>
      </c>
      <c r="D98" s="29" t="s">
        <v>480</v>
      </c>
      <c r="E98" s="2" t="s">
        <v>210</v>
      </c>
      <c r="F98" s="29" t="s">
        <v>705</v>
      </c>
      <c r="G98" s="29" t="s">
        <v>483</v>
      </c>
      <c r="N98" s="1">
        <v>0</v>
      </c>
      <c r="O98" s="1">
        <v>3</v>
      </c>
      <c r="P98" s="29" t="s">
        <v>487</v>
      </c>
      <c r="Q98" s="4">
        <v>40219</v>
      </c>
    </row>
    <row r="99" spans="1:17" ht="50" hidden="1" x14ac:dyDescent="0.25">
      <c r="A99" s="16" t="s">
        <v>488</v>
      </c>
      <c r="C99" s="36">
        <v>40440.882638888892</v>
      </c>
      <c r="D99" s="29" t="s">
        <v>480</v>
      </c>
      <c r="E99" s="2" t="s">
        <v>210</v>
      </c>
      <c r="F99" s="29" t="s">
        <v>706</v>
      </c>
      <c r="G99" s="29" t="s">
        <v>483</v>
      </c>
      <c r="N99" s="1">
        <v>0</v>
      </c>
      <c r="O99" s="1">
        <v>1</v>
      </c>
      <c r="P99" s="29" t="s">
        <v>649</v>
      </c>
      <c r="Q99" s="4">
        <v>40441</v>
      </c>
    </row>
    <row r="100" spans="1:17" ht="62.5" hidden="1" x14ac:dyDescent="0.25">
      <c r="A100" s="16" t="s">
        <v>488</v>
      </c>
      <c r="C100" s="36">
        <v>40446.791666666664</v>
      </c>
      <c r="D100" s="29" t="s">
        <v>480</v>
      </c>
      <c r="E100" s="2" t="s">
        <v>210</v>
      </c>
      <c r="F100" s="29" t="s">
        <v>707</v>
      </c>
      <c r="G100" s="29" t="s">
        <v>483</v>
      </c>
      <c r="N100" s="1">
        <v>0</v>
      </c>
      <c r="O100" s="1">
        <v>1</v>
      </c>
      <c r="P100" s="29" t="s">
        <v>609</v>
      </c>
      <c r="Q100" s="4">
        <v>40448</v>
      </c>
    </row>
    <row r="101" spans="1:17" ht="62.5" hidden="1" x14ac:dyDescent="0.25">
      <c r="A101" s="16" t="s">
        <v>488</v>
      </c>
      <c r="C101" s="36">
        <v>40446.791666666664</v>
      </c>
      <c r="D101" s="29" t="s">
        <v>480</v>
      </c>
      <c r="E101" s="2" t="s">
        <v>210</v>
      </c>
      <c r="F101" s="29" t="s">
        <v>707</v>
      </c>
      <c r="G101" s="29" t="s">
        <v>483</v>
      </c>
      <c r="N101" s="1">
        <v>0</v>
      </c>
      <c r="O101" s="1">
        <v>1</v>
      </c>
      <c r="P101" s="29" t="s">
        <v>609</v>
      </c>
      <c r="Q101" s="4">
        <v>40448</v>
      </c>
    </row>
    <row r="102" spans="1:17" ht="62.5" hidden="1" x14ac:dyDescent="0.25">
      <c r="A102" s="16" t="s">
        <v>488</v>
      </c>
      <c r="C102" s="36">
        <v>40446.791666666664</v>
      </c>
      <c r="D102" s="29" t="s">
        <v>480</v>
      </c>
      <c r="E102" s="2" t="s">
        <v>210</v>
      </c>
      <c r="F102" s="29" t="s">
        <v>707</v>
      </c>
      <c r="G102" s="29" t="s">
        <v>483</v>
      </c>
      <c r="N102" s="1">
        <v>0</v>
      </c>
      <c r="O102" s="1">
        <v>1</v>
      </c>
      <c r="P102" s="29" t="s">
        <v>615</v>
      </c>
      <c r="Q102" s="4">
        <v>40448</v>
      </c>
    </row>
    <row r="103" spans="1:17" ht="62.5" hidden="1" x14ac:dyDescent="0.25">
      <c r="A103" s="16" t="s">
        <v>488</v>
      </c>
      <c r="C103" s="36">
        <v>40447.791666666664</v>
      </c>
      <c r="D103" s="29" t="s">
        <v>480</v>
      </c>
      <c r="E103" s="2" t="s">
        <v>210</v>
      </c>
      <c r="F103" s="29" t="s">
        <v>707</v>
      </c>
      <c r="G103" s="29" t="s">
        <v>483</v>
      </c>
      <c r="N103" s="1">
        <v>0</v>
      </c>
      <c r="O103" s="1">
        <v>1</v>
      </c>
      <c r="P103" s="29" t="s">
        <v>615</v>
      </c>
      <c r="Q103" s="4">
        <v>40448</v>
      </c>
    </row>
    <row r="104" spans="1:17" ht="50" hidden="1" x14ac:dyDescent="0.25">
      <c r="A104" s="16" t="s">
        <v>488</v>
      </c>
      <c r="C104" s="36">
        <v>40593.791666666664</v>
      </c>
      <c r="D104" s="29" t="s">
        <v>480</v>
      </c>
      <c r="E104" s="2" t="s">
        <v>210</v>
      </c>
      <c r="F104" s="29" t="s">
        <v>717</v>
      </c>
      <c r="G104" s="29" t="s">
        <v>483</v>
      </c>
      <c r="N104" s="1">
        <v>0</v>
      </c>
      <c r="O104" s="1">
        <v>1</v>
      </c>
      <c r="P104" s="29" t="s">
        <v>718</v>
      </c>
      <c r="Q104" s="4">
        <v>40611</v>
      </c>
    </row>
    <row r="105" spans="1:17" s="5" customFormat="1" ht="99.75" hidden="1" customHeight="1" x14ac:dyDescent="0.25">
      <c r="A105" s="17" t="s">
        <v>488</v>
      </c>
      <c r="B105" s="22"/>
      <c r="C105" s="36">
        <v>40712</v>
      </c>
      <c r="D105" s="23" t="s">
        <v>480</v>
      </c>
      <c r="E105" s="23" t="s">
        <v>210</v>
      </c>
      <c r="F105" s="23" t="s">
        <v>726</v>
      </c>
      <c r="G105" s="29" t="s">
        <v>483</v>
      </c>
      <c r="H105" s="13"/>
      <c r="I105" s="13"/>
      <c r="J105" s="13"/>
      <c r="K105" s="13"/>
      <c r="L105" s="13"/>
      <c r="M105" s="143"/>
      <c r="N105" s="5">
        <v>0</v>
      </c>
      <c r="O105" s="5">
        <v>2</v>
      </c>
      <c r="P105" s="23" t="s">
        <v>728</v>
      </c>
      <c r="Q105" s="6">
        <v>40752</v>
      </c>
    </row>
    <row r="106" spans="1:17" s="5" customFormat="1" ht="186.75" hidden="1" customHeight="1" x14ac:dyDescent="0.25">
      <c r="A106" s="17" t="s">
        <v>446</v>
      </c>
      <c r="B106" s="22"/>
      <c r="C106" s="36">
        <v>40753.810416666667</v>
      </c>
      <c r="D106" s="23" t="s">
        <v>480</v>
      </c>
      <c r="E106" s="23" t="s">
        <v>210</v>
      </c>
      <c r="F106" s="23" t="s">
        <v>727</v>
      </c>
      <c r="G106" s="29" t="s">
        <v>483</v>
      </c>
      <c r="H106" s="13"/>
      <c r="I106" s="13"/>
      <c r="J106" s="13"/>
      <c r="K106" s="13"/>
      <c r="L106" s="13"/>
      <c r="M106" s="143"/>
      <c r="N106" s="5">
        <v>0</v>
      </c>
      <c r="O106" s="5">
        <v>4</v>
      </c>
      <c r="P106" s="23" t="s">
        <v>738</v>
      </c>
      <c r="Q106" s="6">
        <v>40829</v>
      </c>
    </row>
    <row r="107" spans="1:17" s="5" customFormat="1" ht="100" hidden="1" x14ac:dyDescent="0.25">
      <c r="A107" s="17" t="s">
        <v>488</v>
      </c>
      <c r="B107" s="22"/>
      <c r="C107" s="36">
        <v>40754.818749999999</v>
      </c>
      <c r="D107" s="23" t="s">
        <v>480</v>
      </c>
      <c r="E107" s="23" t="s">
        <v>210</v>
      </c>
      <c r="F107" s="23" t="s">
        <v>727</v>
      </c>
      <c r="G107" s="29" t="s">
        <v>483</v>
      </c>
      <c r="H107" s="13"/>
      <c r="I107" s="13"/>
      <c r="J107" s="13"/>
      <c r="K107" s="13"/>
      <c r="L107" s="13"/>
      <c r="M107" s="143"/>
      <c r="N107" s="5">
        <v>0</v>
      </c>
      <c r="O107" s="5">
        <v>3</v>
      </c>
      <c r="P107" s="23" t="s">
        <v>731</v>
      </c>
      <c r="Q107" s="6">
        <v>40830</v>
      </c>
    </row>
    <row r="108" spans="1:17" s="5" customFormat="1" ht="50" hidden="1" x14ac:dyDescent="0.25">
      <c r="A108" s="17" t="s">
        <v>488</v>
      </c>
      <c r="B108" s="22"/>
      <c r="C108" s="36">
        <v>40754.818749999999</v>
      </c>
      <c r="D108" s="23" t="s">
        <v>480</v>
      </c>
      <c r="E108" s="23" t="s">
        <v>210</v>
      </c>
      <c r="F108" s="23" t="s">
        <v>727</v>
      </c>
      <c r="G108" s="29" t="s">
        <v>483</v>
      </c>
      <c r="H108" s="13"/>
      <c r="I108" s="13"/>
      <c r="J108" s="13"/>
      <c r="K108" s="13"/>
      <c r="L108" s="13"/>
      <c r="M108" s="143"/>
      <c r="N108" s="5">
        <v>0</v>
      </c>
      <c r="O108" s="5">
        <v>3</v>
      </c>
      <c r="P108" s="23" t="s">
        <v>739</v>
      </c>
      <c r="Q108" s="6">
        <v>40830</v>
      </c>
    </row>
    <row r="109" spans="1:17" s="5" customFormat="1" ht="87.5" hidden="1" x14ac:dyDescent="0.25">
      <c r="A109" s="17" t="s">
        <v>488</v>
      </c>
      <c r="B109" s="22"/>
      <c r="C109" s="36">
        <v>40754.818749999999</v>
      </c>
      <c r="D109" s="23" t="s">
        <v>480</v>
      </c>
      <c r="E109" s="23" t="s">
        <v>210</v>
      </c>
      <c r="F109" s="23" t="s">
        <v>727</v>
      </c>
      <c r="G109" s="29" t="s">
        <v>483</v>
      </c>
      <c r="H109" s="13"/>
      <c r="I109" s="13"/>
      <c r="J109" s="13"/>
      <c r="K109" s="13"/>
      <c r="L109" s="13"/>
      <c r="M109" s="143"/>
      <c r="N109" s="5">
        <v>0</v>
      </c>
      <c r="O109" s="5">
        <v>1</v>
      </c>
      <c r="P109" s="23" t="s">
        <v>740</v>
      </c>
      <c r="Q109" s="6">
        <v>40830</v>
      </c>
    </row>
    <row r="110" spans="1:17" s="5" customFormat="1" ht="62.5" hidden="1" x14ac:dyDescent="0.25">
      <c r="A110" s="17" t="s">
        <v>488</v>
      </c>
      <c r="B110" s="22"/>
      <c r="C110" s="36">
        <v>40762</v>
      </c>
      <c r="D110" s="23" t="s">
        <v>480</v>
      </c>
      <c r="E110" s="23" t="s">
        <v>210</v>
      </c>
      <c r="F110" s="23" t="s">
        <v>732</v>
      </c>
      <c r="G110" s="29" t="s">
        <v>483</v>
      </c>
      <c r="H110" s="13"/>
      <c r="I110" s="13"/>
      <c r="J110" s="13"/>
      <c r="K110" s="13"/>
      <c r="L110" s="13"/>
      <c r="M110" s="143"/>
      <c r="N110" s="5">
        <v>0</v>
      </c>
      <c r="O110" s="5">
        <v>5</v>
      </c>
      <c r="P110" s="23" t="s">
        <v>813</v>
      </c>
      <c r="Q110" s="6">
        <v>40814</v>
      </c>
    </row>
    <row r="111" spans="1:17" s="5" customFormat="1" ht="75" hidden="1" x14ac:dyDescent="0.25">
      <c r="A111" s="17" t="s">
        <v>488</v>
      </c>
      <c r="B111" s="22"/>
      <c r="C111" s="36">
        <v>40812.779861111114</v>
      </c>
      <c r="D111" s="23" t="s">
        <v>480</v>
      </c>
      <c r="E111" s="23" t="s">
        <v>210</v>
      </c>
      <c r="F111" s="23" t="s">
        <v>733</v>
      </c>
      <c r="G111" s="29" t="s">
        <v>483</v>
      </c>
      <c r="H111" s="13"/>
      <c r="I111" s="13"/>
      <c r="J111" s="13"/>
      <c r="K111" s="13"/>
      <c r="L111" s="13"/>
      <c r="M111" s="143"/>
      <c r="N111" s="5">
        <v>0</v>
      </c>
      <c r="O111" s="5">
        <v>3</v>
      </c>
      <c r="P111" s="23" t="s">
        <v>734</v>
      </c>
      <c r="Q111" s="6">
        <v>40814</v>
      </c>
    </row>
    <row r="112" spans="1:17" s="5" customFormat="1" ht="125" hidden="1" x14ac:dyDescent="0.25">
      <c r="A112" s="17" t="s">
        <v>488</v>
      </c>
      <c r="B112" s="22"/>
      <c r="C112" s="36">
        <v>40813</v>
      </c>
      <c r="D112" s="23" t="s">
        <v>480</v>
      </c>
      <c r="E112" s="23" t="s">
        <v>210</v>
      </c>
      <c r="F112" s="23" t="s">
        <v>733</v>
      </c>
      <c r="G112" s="29" t="s">
        <v>483</v>
      </c>
      <c r="H112" s="13"/>
      <c r="I112" s="13"/>
      <c r="J112" s="13"/>
      <c r="K112" s="13"/>
      <c r="L112" s="13"/>
      <c r="M112" s="143"/>
      <c r="N112" s="5">
        <v>0</v>
      </c>
      <c r="O112" s="5">
        <v>3</v>
      </c>
      <c r="P112" s="23" t="s">
        <v>735</v>
      </c>
      <c r="Q112" s="6">
        <v>40814</v>
      </c>
    </row>
    <row r="113" spans="1:17" s="5" customFormat="1" hidden="1" x14ac:dyDescent="0.25">
      <c r="A113" s="17" t="s">
        <v>488</v>
      </c>
      <c r="B113" s="22"/>
      <c r="C113" s="36">
        <v>40973</v>
      </c>
      <c r="D113" s="23" t="s">
        <v>480</v>
      </c>
      <c r="E113" s="23" t="s">
        <v>210</v>
      </c>
      <c r="F113" s="23" t="s">
        <v>759</v>
      </c>
      <c r="G113" s="29" t="s">
        <v>483</v>
      </c>
      <c r="H113" s="13"/>
      <c r="I113" s="13"/>
      <c r="J113" s="13"/>
      <c r="K113" s="13"/>
      <c r="L113" s="13"/>
      <c r="M113" s="143"/>
      <c r="N113" s="5">
        <v>0</v>
      </c>
      <c r="O113" s="5">
        <v>1</v>
      </c>
      <c r="P113" s="23" t="s">
        <v>760</v>
      </c>
      <c r="Q113" s="6">
        <v>41066</v>
      </c>
    </row>
    <row r="114" spans="1:17" s="5" customFormat="1" hidden="1" x14ac:dyDescent="0.25">
      <c r="A114" s="17" t="s">
        <v>488</v>
      </c>
      <c r="B114" s="22"/>
      <c r="C114" s="36">
        <v>40974</v>
      </c>
      <c r="D114" s="23" t="s">
        <v>480</v>
      </c>
      <c r="E114" s="23" t="s">
        <v>210</v>
      </c>
      <c r="F114" s="23" t="s">
        <v>759</v>
      </c>
      <c r="G114" s="29" t="s">
        <v>483</v>
      </c>
      <c r="H114" s="13"/>
      <c r="I114" s="13"/>
      <c r="J114" s="13"/>
      <c r="K114" s="13"/>
      <c r="L114" s="13"/>
      <c r="M114" s="143"/>
      <c r="N114" s="5">
        <v>0</v>
      </c>
      <c r="O114" s="5">
        <v>1</v>
      </c>
      <c r="P114" s="23" t="s">
        <v>760</v>
      </c>
      <c r="Q114" s="6">
        <v>41066</v>
      </c>
    </row>
    <row r="115" spans="1:17" s="5" customFormat="1" hidden="1" x14ac:dyDescent="0.25">
      <c r="A115" s="17" t="s">
        <v>488</v>
      </c>
      <c r="B115" s="22"/>
      <c r="C115" s="36">
        <v>41039</v>
      </c>
      <c r="D115" s="23" t="s">
        <v>480</v>
      </c>
      <c r="E115" s="23" t="s">
        <v>210</v>
      </c>
      <c r="F115" s="23" t="s">
        <v>761</v>
      </c>
      <c r="G115" s="29" t="s">
        <v>483</v>
      </c>
      <c r="H115" s="13"/>
      <c r="I115" s="13"/>
      <c r="J115" s="13"/>
      <c r="K115" s="13"/>
      <c r="L115" s="13"/>
      <c r="M115" s="143"/>
      <c r="N115" s="5">
        <v>0</v>
      </c>
      <c r="O115" s="5">
        <v>1</v>
      </c>
      <c r="P115" s="23" t="s">
        <v>760</v>
      </c>
      <c r="Q115" s="6">
        <v>41066</v>
      </c>
    </row>
    <row r="116" spans="1:17" s="5" customFormat="1" hidden="1" x14ac:dyDescent="0.25">
      <c r="A116" s="17" t="s">
        <v>488</v>
      </c>
      <c r="B116" s="22"/>
      <c r="C116" s="36">
        <v>41049</v>
      </c>
      <c r="D116" s="23" t="s">
        <v>480</v>
      </c>
      <c r="E116" s="23" t="s">
        <v>210</v>
      </c>
      <c r="F116" s="23" t="s">
        <v>762</v>
      </c>
      <c r="G116" s="29" t="s">
        <v>763</v>
      </c>
      <c r="H116" s="13"/>
      <c r="I116" s="13"/>
      <c r="J116" s="13"/>
      <c r="K116" s="13"/>
      <c r="L116" s="13"/>
      <c r="M116" s="143"/>
      <c r="N116" s="5">
        <v>0</v>
      </c>
      <c r="O116" s="5">
        <v>1</v>
      </c>
      <c r="P116" s="23" t="s">
        <v>760</v>
      </c>
      <c r="Q116" s="6">
        <v>41066</v>
      </c>
    </row>
    <row r="117" spans="1:17" s="5" customFormat="1" x14ac:dyDescent="0.25">
      <c r="B117" s="22"/>
      <c r="C117" s="36"/>
      <c r="D117" s="22"/>
      <c r="E117" s="22"/>
      <c r="F117" s="22"/>
      <c r="G117" s="22"/>
      <c r="H117" s="13"/>
      <c r="I117" s="13"/>
      <c r="J117" s="13"/>
      <c r="K117" s="13"/>
      <c r="L117" s="13"/>
      <c r="M117" s="143"/>
      <c r="P117" s="22"/>
      <c r="Q117" s="6"/>
    </row>
    <row r="118" spans="1:17" s="5" customFormat="1" x14ac:dyDescent="0.25">
      <c r="B118" s="22"/>
      <c r="C118" s="36"/>
      <c r="D118" s="22"/>
      <c r="E118" s="22"/>
      <c r="F118" s="22"/>
      <c r="G118" s="22"/>
      <c r="H118" s="13"/>
      <c r="I118" s="13"/>
      <c r="J118" s="13"/>
      <c r="K118" s="13"/>
      <c r="L118" s="13"/>
      <c r="M118" s="143"/>
      <c r="P118" s="22"/>
      <c r="Q118" s="6"/>
    </row>
    <row r="119" spans="1:17" s="5" customFormat="1" x14ac:dyDescent="0.25">
      <c r="B119" s="22"/>
      <c r="C119" s="36"/>
      <c r="D119" s="22"/>
      <c r="E119" s="22"/>
      <c r="F119" s="22"/>
      <c r="G119" s="22"/>
      <c r="H119" s="13"/>
      <c r="I119" s="13"/>
      <c r="J119" s="13"/>
      <c r="K119" s="13"/>
      <c r="L119" s="13"/>
      <c r="M119" s="143"/>
      <c r="P119" s="22"/>
      <c r="Q119" s="6"/>
    </row>
    <row r="120" spans="1:17" s="5" customFormat="1" x14ac:dyDescent="0.25">
      <c r="B120" s="22"/>
      <c r="C120" s="36"/>
      <c r="D120" s="22"/>
      <c r="E120" s="22"/>
      <c r="F120" s="22"/>
      <c r="G120" s="22"/>
      <c r="H120" s="13"/>
      <c r="I120" s="13"/>
      <c r="J120" s="13"/>
      <c r="K120" s="13"/>
      <c r="L120" s="13"/>
      <c r="M120" s="143"/>
      <c r="P120" s="22"/>
      <c r="Q120" s="6"/>
    </row>
    <row r="121" spans="1:17" s="5" customFormat="1" x14ac:dyDescent="0.25">
      <c r="B121" s="22"/>
      <c r="C121" s="36"/>
      <c r="D121" s="22"/>
      <c r="E121" s="22"/>
      <c r="F121" s="22"/>
      <c r="G121" s="22"/>
      <c r="H121" s="13"/>
      <c r="I121" s="13"/>
      <c r="J121" s="13"/>
      <c r="K121" s="13"/>
      <c r="L121" s="13"/>
      <c r="M121" s="143"/>
      <c r="P121" s="22"/>
      <c r="Q121" s="6"/>
    </row>
    <row r="122" spans="1:17" s="5" customFormat="1" x14ac:dyDescent="0.25">
      <c r="B122" s="22"/>
      <c r="C122" s="36"/>
      <c r="D122" s="22"/>
      <c r="E122" s="22"/>
      <c r="F122" s="22"/>
      <c r="G122" s="22"/>
      <c r="H122" s="13"/>
      <c r="I122" s="13"/>
      <c r="J122" s="13"/>
      <c r="K122" s="13"/>
      <c r="L122" s="13"/>
      <c r="M122" s="143"/>
      <c r="P122" s="22"/>
      <c r="Q122" s="6"/>
    </row>
    <row r="123" spans="1:17" s="5" customFormat="1" x14ac:dyDescent="0.25">
      <c r="B123" s="22"/>
      <c r="C123" s="36"/>
      <c r="D123" s="22"/>
      <c r="E123" s="22"/>
      <c r="F123" s="22"/>
      <c r="G123" s="22"/>
      <c r="H123" s="13"/>
      <c r="I123" s="13"/>
      <c r="J123" s="13"/>
      <c r="K123" s="13"/>
      <c r="L123" s="13"/>
      <c r="M123" s="143"/>
      <c r="P123" s="22"/>
      <c r="Q123" s="6"/>
    </row>
    <row r="124" spans="1:17" s="5" customFormat="1" x14ac:dyDescent="0.25">
      <c r="B124" s="22"/>
      <c r="C124" s="36"/>
      <c r="D124" s="22"/>
      <c r="E124" s="22"/>
      <c r="F124" s="22"/>
      <c r="G124" s="22"/>
      <c r="H124" s="13"/>
      <c r="I124" s="13"/>
      <c r="J124" s="13"/>
      <c r="K124" s="13"/>
      <c r="L124" s="13"/>
      <c r="M124" s="143"/>
      <c r="P124" s="22"/>
      <c r="Q124" s="6"/>
    </row>
    <row r="125" spans="1:17" s="5" customFormat="1" x14ac:dyDescent="0.25">
      <c r="B125" s="22"/>
      <c r="C125" s="36"/>
      <c r="D125" s="22"/>
      <c r="E125" s="22"/>
      <c r="F125" s="22"/>
      <c r="G125" s="22"/>
      <c r="H125" s="13"/>
      <c r="I125" s="13"/>
      <c r="J125" s="13"/>
      <c r="K125" s="13"/>
      <c r="L125" s="13"/>
      <c r="M125" s="143"/>
      <c r="P125" s="22"/>
      <c r="Q125" s="6"/>
    </row>
    <row r="126" spans="1:17" s="5" customFormat="1" x14ac:dyDescent="0.25">
      <c r="B126" s="22"/>
      <c r="C126" s="36"/>
      <c r="D126" s="22"/>
      <c r="E126" s="22"/>
      <c r="F126" s="22"/>
      <c r="G126" s="22"/>
      <c r="H126" s="13"/>
      <c r="I126" s="13"/>
      <c r="J126" s="13"/>
      <c r="K126" s="13"/>
      <c r="L126" s="13"/>
      <c r="M126" s="143"/>
      <c r="P126" s="22"/>
      <c r="Q126" s="6"/>
    </row>
    <row r="127" spans="1:17" s="5" customFormat="1" x14ac:dyDescent="0.25">
      <c r="B127" s="22"/>
      <c r="C127" s="36"/>
      <c r="D127" s="22"/>
      <c r="E127" s="22"/>
      <c r="F127" s="22"/>
      <c r="G127" s="22"/>
      <c r="H127" s="13"/>
      <c r="I127" s="13"/>
      <c r="J127" s="13"/>
      <c r="K127" s="13"/>
      <c r="L127" s="13"/>
      <c r="M127" s="143"/>
      <c r="P127" s="22"/>
      <c r="Q127" s="6"/>
    </row>
    <row r="128" spans="1:17" s="5" customFormat="1" x14ac:dyDescent="0.25">
      <c r="B128" s="22"/>
      <c r="C128" s="36"/>
      <c r="D128" s="22"/>
      <c r="E128" s="22"/>
      <c r="F128" s="22"/>
      <c r="G128" s="22"/>
      <c r="H128" s="13"/>
      <c r="I128" s="13"/>
      <c r="J128" s="13"/>
      <c r="K128" s="13"/>
      <c r="L128" s="13"/>
      <c r="M128" s="143"/>
      <c r="P128" s="22"/>
      <c r="Q128" s="6"/>
    </row>
    <row r="129" spans="2:17" s="5" customFormat="1" x14ac:dyDescent="0.25">
      <c r="B129" s="22"/>
      <c r="C129" s="36"/>
      <c r="D129" s="22"/>
      <c r="E129" s="22"/>
      <c r="F129" s="22"/>
      <c r="G129" s="22"/>
      <c r="H129" s="13"/>
      <c r="I129" s="13"/>
      <c r="J129" s="13"/>
      <c r="K129" s="13"/>
      <c r="L129" s="13"/>
      <c r="M129" s="143"/>
      <c r="P129" s="22"/>
      <c r="Q129" s="6"/>
    </row>
    <row r="130" spans="2:17" s="5" customFormat="1" x14ac:dyDescent="0.25">
      <c r="B130" s="22"/>
      <c r="C130" s="36"/>
      <c r="D130" s="22"/>
      <c r="E130" s="22"/>
      <c r="F130" s="22"/>
      <c r="G130" s="22"/>
      <c r="H130" s="13"/>
      <c r="I130" s="13"/>
      <c r="J130" s="13"/>
      <c r="K130" s="13"/>
      <c r="L130" s="13"/>
      <c r="M130" s="143"/>
      <c r="P130" s="22"/>
      <c r="Q130" s="6"/>
    </row>
    <row r="131" spans="2:17" s="5" customFormat="1" x14ac:dyDescent="0.25">
      <c r="B131" s="22"/>
      <c r="C131" s="36"/>
      <c r="D131" s="22"/>
      <c r="E131" s="22"/>
      <c r="F131" s="22"/>
      <c r="G131" s="22"/>
      <c r="H131" s="13"/>
      <c r="I131" s="13"/>
      <c r="J131" s="13"/>
      <c r="K131" s="13"/>
      <c r="L131" s="13"/>
      <c r="M131" s="143"/>
      <c r="P131" s="22"/>
      <c r="Q131" s="6"/>
    </row>
    <row r="132" spans="2:17" s="5" customFormat="1" x14ac:dyDescent="0.25">
      <c r="B132" s="22"/>
      <c r="C132" s="36"/>
      <c r="D132" s="22"/>
      <c r="E132" s="22"/>
      <c r="F132" s="22"/>
      <c r="G132" s="22"/>
      <c r="H132" s="13"/>
      <c r="I132" s="13"/>
      <c r="J132" s="13"/>
      <c r="K132" s="13"/>
      <c r="L132" s="13"/>
      <c r="M132" s="143"/>
      <c r="P132" s="22"/>
      <c r="Q132" s="6"/>
    </row>
    <row r="133" spans="2:17" s="5" customFormat="1" x14ac:dyDescent="0.25">
      <c r="B133" s="22"/>
      <c r="C133" s="36"/>
      <c r="D133" s="22"/>
      <c r="E133" s="22"/>
      <c r="F133" s="22"/>
      <c r="G133" s="22"/>
      <c r="H133" s="13"/>
      <c r="I133" s="13"/>
      <c r="J133" s="13"/>
      <c r="K133" s="13"/>
      <c r="L133" s="13"/>
      <c r="M133" s="143"/>
      <c r="P133" s="22"/>
      <c r="Q133" s="6"/>
    </row>
    <row r="134" spans="2:17" s="5" customFormat="1" x14ac:dyDescent="0.25">
      <c r="B134" s="22"/>
      <c r="C134" s="36"/>
      <c r="D134" s="22"/>
      <c r="E134" s="22"/>
      <c r="F134" s="22"/>
      <c r="G134" s="22"/>
      <c r="H134" s="13"/>
      <c r="I134" s="13"/>
      <c r="J134" s="13"/>
      <c r="K134" s="13"/>
      <c r="L134" s="13"/>
      <c r="M134" s="143"/>
      <c r="P134" s="22"/>
      <c r="Q134" s="6"/>
    </row>
    <row r="135" spans="2:17" s="5" customFormat="1" x14ac:dyDescent="0.25">
      <c r="B135" s="22"/>
      <c r="C135" s="36"/>
      <c r="D135" s="22"/>
      <c r="E135" s="22"/>
      <c r="F135" s="22"/>
      <c r="G135" s="22"/>
      <c r="H135" s="13"/>
      <c r="I135" s="13"/>
      <c r="J135" s="13"/>
      <c r="K135" s="13"/>
      <c r="L135" s="13"/>
      <c r="M135" s="143"/>
      <c r="P135" s="22"/>
      <c r="Q135" s="6"/>
    </row>
    <row r="136" spans="2:17" s="5" customFormat="1" x14ac:dyDescent="0.25">
      <c r="B136" s="22"/>
      <c r="C136" s="36"/>
      <c r="D136" s="22"/>
      <c r="E136" s="22"/>
      <c r="F136" s="22"/>
      <c r="G136" s="22"/>
      <c r="H136" s="13"/>
      <c r="I136" s="13"/>
      <c r="J136" s="13"/>
      <c r="K136" s="13"/>
      <c r="L136" s="13"/>
      <c r="M136" s="143"/>
      <c r="P136" s="22"/>
      <c r="Q136" s="6"/>
    </row>
    <row r="137" spans="2:17" s="5" customFormat="1" x14ac:dyDescent="0.25">
      <c r="B137" s="22"/>
      <c r="C137" s="36"/>
      <c r="D137" s="22"/>
      <c r="E137" s="22"/>
      <c r="F137" s="22"/>
      <c r="G137" s="22"/>
      <c r="H137" s="13"/>
      <c r="I137" s="13"/>
      <c r="J137" s="13"/>
      <c r="K137" s="13"/>
      <c r="L137" s="13"/>
      <c r="M137" s="143"/>
      <c r="P137" s="22"/>
      <c r="Q137" s="6"/>
    </row>
    <row r="138" spans="2:17" s="5" customFormat="1" x14ac:dyDescent="0.25">
      <c r="B138" s="22"/>
      <c r="C138" s="36"/>
      <c r="D138" s="22"/>
      <c r="E138" s="22"/>
      <c r="F138" s="22"/>
      <c r="G138" s="22"/>
      <c r="H138" s="13"/>
      <c r="I138" s="13"/>
      <c r="J138" s="13"/>
      <c r="K138" s="13"/>
      <c r="L138" s="13"/>
      <c r="M138" s="143"/>
      <c r="P138" s="22"/>
      <c r="Q138" s="6"/>
    </row>
    <row r="139" spans="2:17" s="5" customFormat="1" x14ac:dyDescent="0.25">
      <c r="B139" s="22"/>
      <c r="C139" s="36"/>
      <c r="D139" s="22"/>
      <c r="E139" s="22"/>
      <c r="F139" s="22"/>
      <c r="G139" s="22"/>
      <c r="H139" s="13"/>
      <c r="I139" s="13"/>
      <c r="J139" s="13"/>
      <c r="K139" s="13"/>
      <c r="L139" s="13"/>
      <c r="M139" s="143"/>
      <c r="P139" s="22"/>
      <c r="Q139" s="6"/>
    </row>
    <row r="140" spans="2:17" s="5" customFormat="1" x14ac:dyDescent="0.25">
      <c r="B140" s="22"/>
      <c r="C140" s="36"/>
      <c r="D140" s="22"/>
      <c r="E140" s="22"/>
      <c r="F140" s="22"/>
      <c r="G140" s="22"/>
      <c r="H140" s="13"/>
      <c r="I140" s="13"/>
      <c r="J140" s="13"/>
      <c r="K140" s="13"/>
      <c r="L140" s="13"/>
      <c r="M140" s="143"/>
      <c r="P140" s="22"/>
      <c r="Q140" s="6"/>
    </row>
    <row r="141" spans="2:17" s="5" customFormat="1" x14ac:dyDescent="0.25">
      <c r="B141" s="22"/>
      <c r="C141" s="36"/>
      <c r="D141" s="22"/>
      <c r="E141" s="22"/>
      <c r="F141" s="22"/>
      <c r="G141" s="22"/>
      <c r="H141" s="13"/>
      <c r="I141" s="13"/>
      <c r="J141" s="13"/>
      <c r="K141" s="13"/>
      <c r="L141" s="13"/>
      <c r="M141" s="143"/>
      <c r="P141" s="22"/>
      <c r="Q141" s="6"/>
    </row>
    <row r="142" spans="2:17" s="5" customFormat="1" x14ac:dyDescent="0.25">
      <c r="B142" s="22"/>
      <c r="C142" s="36"/>
      <c r="D142" s="22"/>
      <c r="E142" s="22"/>
      <c r="F142" s="22"/>
      <c r="G142" s="22"/>
      <c r="H142" s="13"/>
      <c r="I142" s="13"/>
      <c r="J142" s="13"/>
      <c r="K142" s="13"/>
      <c r="L142" s="13"/>
      <c r="M142" s="143"/>
      <c r="P142" s="22"/>
      <c r="Q142" s="6"/>
    </row>
    <row r="143" spans="2:17" s="5" customFormat="1" x14ac:dyDescent="0.25">
      <c r="B143" s="22"/>
      <c r="C143" s="36"/>
      <c r="D143" s="22"/>
      <c r="E143" s="22"/>
      <c r="F143" s="22"/>
      <c r="G143" s="22"/>
      <c r="H143" s="13"/>
      <c r="I143" s="13"/>
      <c r="J143" s="13"/>
      <c r="K143" s="13"/>
      <c r="L143" s="13"/>
      <c r="M143" s="143"/>
      <c r="P143" s="22"/>
      <c r="Q143" s="6"/>
    </row>
    <row r="144" spans="2:17" s="5" customFormat="1" x14ac:dyDescent="0.25">
      <c r="B144" s="22"/>
      <c r="C144" s="36"/>
      <c r="D144" s="22"/>
      <c r="E144" s="22"/>
      <c r="F144" s="22"/>
      <c r="G144" s="22"/>
      <c r="H144" s="13"/>
      <c r="I144" s="13"/>
      <c r="J144" s="13"/>
      <c r="K144" s="13"/>
      <c r="L144" s="13"/>
      <c r="M144" s="143"/>
      <c r="P144" s="22"/>
      <c r="Q144" s="6"/>
    </row>
    <row r="145" spans="2:17" s="5" customFormat="1" x14ac:dyDescent="0.25">
      <c r="B145" s="22"/>
      <c r="C145" s="36"/>
      <c r="D145" s="22"/>
      <c r="E145" s="22"/>
      <c r="F145" s="22"/>
      <c r="G145" s="22"/>
      <c r="H145" s="13"/>
      <c r="I145" s="13"/>
      <c r="J145" s="13"/>
      <c r="K145" s="13"/>
      <c r="L145" s="13"/>
      <c r="M145" s="143"/>
      <c r="P145" s="22"/>
      <c r="Q145" s="6"/>
    </row>
    <row r="146" spans="2:17" s="5" customFormat="1" x14ac:dyDescent="0.25">
      <c r="B146" s="22"/>
      <c r="C146" s="36"/>
      <c r="D146" s="22"/>
      <c r="E146" s="22"/>
      <c r="F146" s="22"/>
      <c r="G146" s="22"/>
      <c r="H146" s="13"/>
      <c r="I146" s="13"/>
      <c r="J146" s="13"/>
      <c r="K146" s="13"/>
      <c r="L146" s="13"/>
      <c r="M146" s="143"/>
      <c r="P146" s="22"/>
      <c r="Q146" s="6"/>
    </row>
    <row r="147" spans="2:17" s="5" customFormat="1" x14ac:dyDescent="0.25">
      <c r="B147" s="22"/>
      <c r="C147" s="36"/>
      <c r="D147" s="22"/>
      <c r="E147" s="22"/>
      <c r="F147" s="22"/>
      <c r="G147" s="22"/>
      <c r="H147" s="13"/>
      <c r="I147" s="13"/>
      <c r="J147" s="13"/>
      <c r="K147" s="13"/>
      <c r="L147" s="13"/>
      <c r="M147" s="143"/>
      <c r="P147" s="22"/>
      <c r="Q147" s="6"/>
    </row>
  </sheetData>
  <autoFilter ref="A1:S116" xr:uid="{00000000-0009-0000-0000-000001000000}">
    <filterColumn colId="4">
      <filters>
        <filter val="Comet"/>
      </filters>
    </filterColumn>
  </autoFilter>
  <phoneticPr fontId="0" type="noConversion"/>
  <printOptions gridLines="1"/>
  <pageMargins left="0.75" right="0.75" top="1" bottom="1" header="0.5" footer="0.5"/>
  <pageSetup scale="72" orientation="landscape" r:id="rId1"/>
  <headerFooter alignWithMargins="0">
    <oddHeader>&amp;L&amp;D&amp;C&amp;F - &amp;A&amp;R&amp;T</oddHeader>
    <oddFooter>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AB167"/>
  <sheetViews>
    <sheetView tabSelected="1" zoomScale="80" zoomScaleNormal="80" workbookViewId="0">
      <pane xSplit="3" ySplit="1" topLeftCell="D14" activePane="bottomRight" state="frozenSplit"/>
      <selection pane="topRight" activeCell="D1" sqref="D1"/>
      <selection pane="bottomLeft" activeCell="A105" sqref="A105"/>
      <selection pane="bottomRight" activeCell="C83" sqref="C83:C126"/>
    </sheetView>
  </sheetViews>
  <sheetFormatPr defaultColWidth="9.1796875" defaultRowHeight="12.5" x14ac:dyDescent="0.25"/>
  <cols>
    <col min="1" max="1" width="4.26953125" style="16" customWidth="1"/>
    <col min="2" max="2" width="8.54296875" style="2" customWidth="1"/>
    <col min="3" max="3" width="17.7265625" style="36" customWidth="1"/>
    <col min="4" max="4" width="17.26953125" style="2" customWidth="1"/>
    <col min="5" max="6" width="15.453125" style="2" customWidth="1"/>
    <col min="7" max="8" width="6.54296875" style="3" customWidth="1"/>
    <col min="9" max="9" width="6.81640625" style="220" customWidth="1"/>
    <col min="10" max="13" width="5.26953125" style="3" customWidth="1"/>
    <col min="14" max="16" width="5" style="3" customWidth="1"/>
    <col min="17" max="17" width="8.453125" style="3" customWidth="1"/>
    <col min="18" max="20" width="5" style="3" customWidth="1"/>
    <col min="21" max="21" width="5.453125" style="3" customWidth="1"/>
    <col min="22" max="22" width="4.81640625" style="139" customWidth="1"/>
    <col min="23" max="23" width="2.7265625" style="1" customWidth="1"/>
    <col min="24" max="24" width="2.81640625" style="1" customWidth="1"/>
    <col min="25" max="25" width="40.7265625" style="2" customWidth="1"/>
    <col min="26" max="26" width="12.7265625" style="4" bestFit="1" customWidth="1"/>
    <col min="27" max="16384" width="9.1796875" style="1"/>
  </cols>
  <sheetData>
    <row r="1" spans="1:28" s="12" customFormat="1" ht="73.5" customHeight="1" x14ac:dyDescent="0.35">
      <c r="A1" s="203" t="s">
        <v>486</v>
      </c>
      <c r="B1" s="34" t="s">
        <v>233</v>
      </c>
      <c r="C1" s="35" t="s">
        <v>490</v>
      </c>
      <c r="D1" s="10" t="s">
        <v>216</v>
      </c>
      <c r="E1" s="10" t="s">
        <v>655</v>
      </c>
      <c r="F1" s="10" t="s">
        <v>656</v>
      </c>
      <c r="G1" s="8" t="s">
        <v>512</v>
      </c>
      <c r="H1" s="8" t="s">
        <v>511</v>
      </c>
      <c r="I1" s="214" t="s">
        <v>639</v>
      </c>
      <c r="J1" s="8" t="s">
        <v>504</v>
      </c>
      <c r="K1" s="8" t="s">
        <v>515</v>
      </c>
      <c r="L1" s="8" t="s">
        <v>546</v>
      </c>
      <c r="M1" s="8" t="s">
        <v>547</v>
      </c>
      <c r="N1" s="8" t="s">
        <v>505</v>
      </c>
      <c r="O1" s="8" t="s">
        <v>506</v>
      </c>
      <c r="P1" s="8" t="s">
        <v>548</v>
      </c>
      <c r="Q1" s="8" t="s">
        <v>549</v>
      </c>
      <c r="R1" s="8" t="s">
        <v>507</v>
      </c>
      <c r="S1" s="8" t="s">
        <v>508</v>
      </c>
      <c r="T1" s="8" t="s">
        <v>513</v>
      </c>
      <c r="U1" s="8" t="s">
        <v>131</v>
      </c>
      <c r="V1" s="138" t="s">
        <v>132</v>
      </c>
      <c r="W1" s="9" t="s">
        <v>12</v>
      </c>
      <c r="X1" s="9" t="s">
        <v>156</v>
      </c>
      <c r="Y1" s="10" t="s">
        <v>155</v>
      </c>
      <c r="Z1" s="11" t="s">
        <v>157</v>
      </c>
      <c r="AA1" s="7" t="e">
        <f>SUM(#REF!)</f>
        <v>#REF!</v>
      </c>
      <c r="AB1" s="7">
        <f>SUM(X2:X122)</f>
        <v>120</v>
      </c>
    </row>
    <row r="2" spans="1:28" s="61" customFormat="1" ht="13" x14ac:dyDescent="0.3">
      <c r="A2" s="221"/>
      <c r="B2" s="64"/>
      <c r="C2" s="54" t="s">
        <v>193</v>
      </c>
      <c r="D2" s="55" t="s">
        <v>643</v>
      </c>
      <c r="E2" s="55" t="s">
        <v>196</v>
      </c>
      <c r="F2" s="55"/>
      <c r="G2" s="60"/>
      <c r="H2" s="60"/>
      <c r="I2" s="215"/>
      <c r="J2" s="60"/>
      <c r="K2" s="60"/>
      <c r="L2" s="60"/>
      <c r="M2" s="60"/>
      <c r="N2" s="60"/>
      <c r="O2" s="60"/>
      <c r="P2" s="60"/>
      <c r="Q2" s="60"/>
      <c r="R2" s="60"/>
      <c r="S2" s="60"/>
      <c r="T2" s="60"/>
      <c r="U2" s="60"/>
      <c r="V2" s="206"/>
      <c r="W2" s="59">
        <f>SUM(W3)</f>
        <v>0</v>
      </c>
      <c r="X2" s="59">
        <f>SUM(X3)</f>
        <v>1</v>
      </c>
      <c r="Y2" s="55" t="s">
        <v>644</v>
      </c>
      <c r="Z2" s="58">
        <v>40472</v>
      </c>
      <c r="AA2" s="59"/>
      <c r="AB2" s="59"/>
    </row>
    <row r="3" spans="1:28" s="12" customFormat="1" ht="37.5" x14ac:dyDescent="0.3">
      <c r="A3" s="204" t="s">
        <v>595</v>
      </c>
      <c r="B3" s="22"/>
      <c r="C3" s="36">
        <v>40466.131249999999</v>
      </c>
      <c r="D3" s="23" t="s">
        <v>643</v>
      </c>
      <c r="E3" s="23" t="s">
        <v>196</v>
      </c>
      <c r="F3" s="23"/>
      <c r="G3" s="13">
        <v>22</v>
      </c>
      <c r="H3" s="13">
        <v>22</v>
      </c>
      <c r="I3" s="216">
        <v>3.83</v>
      </c>
      <c r="J3" s="13"/>
      <c r="K3" s="13"/>
      <c r="L3" s="13"/>
      <c r="M3" s="13"/>
      <c r="N3" s="13"/>
      <c r="O3" s="13"/>
      <c r="P3" s="13"/>
      <c r="Q3" s="13"/>
      <c r="R3" s="13"/>
      <c r="S3" s="13"/>
      <c r="T3" s="13"/>
      <c r="U3" s="13"/>
      <c r="V3" s="143">
        <v>0.6</v>
      </c>
      <c r="W3" s="5">
        <v>0</v>
      </c>
      <c r="X3" s="5">
        <v>1</v>
      </c>
      <c r="Y3" s="23" t="s">
        <v>646</v>
      </c>
      <c r="Z3" s="19">
        <v>40472</v>
      </c>
      <c r="AA3" s="5"/>
      <c r="AB3" s="5"/>
    </row>
    <row r="4" spans="1:28" s="12" customFormat="1" ht="37.5" x14ac:dyDescent="0.3">
      <c r="A4" s="204"/>
      <c r="B4" s="22"/>
      <c r="C4" s="36">
        <v>39490</v>
      </c>
      <c r="D4" s="23" t="s">
        <v>181</v>
      </c>
      <c r="E4" s="23" t="s">
        <v>182</v>
      </c>
      <c r="F4" s="23"/>
      <c r="G4" s="13"/>
      <c r="H4" s="13"/>
      <c r="I4" s="216"/>
      <c r="J4" s="13"/>
      <c r="K4" s="13"/>
      <c r="L4" s="13"/>
      <c r="M4" s="13"/>
      <c r="N4" s="13"/>
      <c r="O4" s="13"/>
      <c r="P4" s="13"/>
      <c r="Q4" s="13"/>
      <c r="R4" s="13"/>
      <c r="S4" s="13"/>
      <c r="T4" s="13"/>
      <c r="U4" s="13"/>
      <c r="V4" s="143"/>
      <c r="W4" s="5"/>
      <c r="X4" s="5"/>
      <c r="Y4" s="41" t="s">
        <v>279</v>
      </c>
      <c r="Z4" s="19">
        <v>39498</v>
      </c>
      <c r="AA4" s="5"/>
      <c r="AB4" s="5"/>
    </row>
    <row r="5" spans="1:28" s="61" customFormat="1" ht="62.5" x14ac:dyDescent="0.3">
      <c r="A5" s="221"/>
      <c r="B5" s="64"/>
      <c r="C5" s="54" t="s">
        <v>193</v>
      </c>
      <c r="D5" s="55" t="s">
        <v>650</v>
      </c>
      <c r="E5" s="55" t="s">
        <v>196</v>
      </c>
      <c r="F5" s="55" t="s">
        <v>658</v>
      </c>
      <c r="G5" s="60">
        <v>85</v>
      </c>
      <c r="H5" s="60">
        <v>85</v>
      </c>
      <c r="I5" s="215">
        <v>2.15</v>
      </c>
      <c r="J5" s="60"/>
      <c r="K5" s="60"/>
      <c r="L5" s="60"/>
      <c r="M5" s="60"/>
      <c r="N5" s="60"/>
      <c r="O5" s="60"/>
      <c r="P5" s="60"/>
      <c r="Q5" s="60"/>
      <c r="R5" s="60"/>
      <c r="S5" s="60"/>
      <c r="T5" s="60"/>
      <c r="U5" s="60"/>
      <c r="V5" s="206"/>
      <c r="W5" s="59">
        <f>SUM(W6:W8)</f>
        <v>0</v>
      </c>
      <c r="X5" s="59">
        <f>SUM(X6:X8)</f>
        <v>3</v>
      </c>
      <c r="Y5" s="55" t="s">
        <v>663</v>
      </c>
      <c r="Z5" s="58">
        <v>40506</v>
      </c>
      <c r="AA5" s="59"/>
      <c r="AB5" s="59"/>
    </row>
    <row r="6" spans="1:28" s="12" customFormat="1" ht="25" x14ac:dyDescent="0.3">
      <c r="A6" s="204"/>
      <c r="B6" s="22"/>
      <c r="C6" s="36">
        <v>38696</v>
      </c>
      <c r="D6" s="23" t="s">
        <v>650</v>
      </c>
      <c r="E6" s="23" t="s">
        <v>284</v>
      </c>
      <c r="F6" s="23" t="s">
        <v>658</v>
      </c>
      <c r="G6" s="13">
        <v>85</v>
      </c>
      <c r="H6" s="13">
        <v>85</v>
      </c>
      <c r="I6" s="216">
        <v>2.15</v>
      </c>
      <c r="J6" s="13"/>
      <c r="K6" s="13"/>
      <c r="L6" s="13"/>
      <c r="M6" s="13"/>
      <c r="N6" s="13"/>
      <c r="O6" s="13"/>
      <c r="P6" s="13"/>
      <c r="Q6" s="13"/>
      <c r="R6" s="13"/>
      <c r="S6" s="13"/>
      <c r="T6" s="13"/>
      <c r="U6" s="13"/>
      <c r="V6" s="143"/>
      <c r="W6" s="5">
        <v>0</v>
      </c>
      <c r="X6" s="5">
        <v>1</v>
      </c>
      <c r="Y6" s="23"/>
      <c r="Z6" s="19">
        <v>40506</v>
      </c>
      <c r="AA6" s="5"/>
      <c r="AB6" s="5"/>
    </row>
    <row r="7" spans="1:28" s="12" customFormat="1" ht="25" x14ac:dyDescent="0.3">
      <c r="A7" s="204"/>
      <c r="B7" s="22"/>
      <c r="C7" s="36">
        <v>39493</v>
      </c>
      <c r="D7" s="23" t="s">
        <v>650</v>
      </c>
      <c r="E7" s="23" t="s">
        <v>284</v>
      </c>
      <c r="F7" s="23" t="s">
        <v>658</v>
      </c>
      <c r="G7" s="13">
        <v>85</v>
      </c>
      <c r="H7" s="13">
        <v>85</v>
      </c>
      <c r="I7" s="216">
        <v>2.15</v>
      </c>
      <c r="J7" s="13"/>
      <c r="K7" s="13"/>
      <c r="L7" s="13"/>
      <c r="M7" s="13"/>
      <c r="N7" s="13"/>
      <c r="O7" s="13"/>
      <c r="P7" s="13"/>
      <c r="Q7" s="13"/>
      <c r="R7" s="13"/>
      <c r="S7" s="13"/>
      <c r="T7" s="13"/>
      <c r="U7" s="13"/>
      <c r="V7" s="143"/>
      <c r="W7" s="5">
        <v>0</v>
      </c>
      <c r="X7" s="5">
        <v>1</v>
      </c>
      <c r="Y7" s="23" t="s">
        <v>651</v>
      </c>
      <c r="Z7" s="19">
        <v>40496</v>
      </c>
      <c r="AA7" s="5"/>
      <c r="AB7" s="5"/>
    </row>
    <row r="8" spans="1:28" s="12" customFormat="1" ht="13" x14ac:dyDescent="0.3">
      <c r="A8" s="204" t="s">
        <v>446</v>
      </c>
      <c r="B8" s="22"/>
      <c r="C8" s="36">
        <v>40468.188888888886</v>
      </c>
      <c r="D8" s="23" t="s">
        <v>650</v>
      </c>
      <c r="E8" s="23" t="s">
        <v>196</v>
      </c>
      <c r="F8" s="23" t="s">
        <v>658</v>
      </c>
      <c r="G8" s="13">
        <v>85</v>
      </c>
      <c r="H8" s="13">
        <v>85</v>
      </c>
      <c r="I8" s="216">
        <v>2.15</v>
      </c>
      <c r="J8" s="13"/>
      <c r="K8" s="13"/>
      <c r="L8" s="13"/>
      <c r="M8" s="13"/>
      <c r="N8" s="13"/>
      <c r="O8" s="13"/>
      <c r="P8" s="13"/>
      <c r="Q8" s="13"/>
      <c r="R8" s="13"/>
      <c r="S8" s="13"/>
      <c r="T8" s="13"/>
      <c r="U8" s="13"/>
      <c r="V8" s="143"/>
      <c r="W8" s="5">
        <v>0</v>
      </c>
      <c r="X8" s="5">
        <v>1</v>
      </c>
      <c r="Y8" s="23" t="s">
        <v>652</v>
      </c>
      <c r="Z8" s="19">
        <v>40496</v>
      </c>
      <c r="AA8" s="5"/>
      <c r="AB8" s="5"/>
    </row>
    <row r="9" spans="1:28" s="61" customFormat="1" ht="13" x14ac:dyDescent="0.3">
      <c r="A9" s="221"/>
      <c r="B9" s="64"/>
      <c r="C9" s="54" t="s">
        <v>193</v>
      </c>
      <c r="D9" s="55" t="s">
        <v>604</v>
      </c>
      <c r="E9" s="55" t="s">
        <v>196</v>
      </c>
      <c r="F9" s="55" t="s">
        <v>657</v>
      </c>
      <c r="G9" s="60">
        <v>90</v>
      </c>
      <c r="H9" s="60">
        <v>90</v>
      </c>
      <c r="I9" s="215">
        <v>3</v>
      </c>
      <c r="J9" s="60"/>
      <c r="K9" s="60"/>
      <c r="L9" s="60"/>
      <c r="M9" s="60"/>
      <c r="N9" s="60"/>
      <c r="O9" s="60"/>
      <c r="P9" s="60"/>
      <c r="Q9" s="60"/>
      <c r="R9" s="60"/>
      <c r="S9" s="60"/>
      <c r="T9" s="60"/>
      <c r="U9" s="60"/>
      <c r="V9" s="206"/>
      <c r="W9" s="59">
        <f>SUM(W10:W11)</f>
        <v>0</v>
      </c>
      <c r="X9" s="59">
        <f>SUM(X10:X11)</f>
        <v>2</v>
      </c>
      <c r="Y9" s="55" t="s">
        <v>638</v>
      </c>
      <c r="Z9" s="58">
        <v>40472</v>
      </c>
      <c r="AA9" s="59"/>
      <c r="AB9" s="59"/>
    </row>
    <row r="10" spans="1:28" s="12" customFormat="1" ht="25" x14ac:dyDescent="0.3">
      <c r="A10" s="204"/>
      <c r="B10" s="22"/>
      <c r="C10" s="36">
        <v>39843.947222222225</v>
      </c>
      <c r="D10" s="23" t="s">
        <v>604</v>
      </c>
      <c r="E10" s="23" t="s">
        <v>196</v>
      </c>
      <c r="F10" s="23" t="s">
        <v>657</v>
      </c>
      <c r="G10" s="13"/>
      <c r="H10" s="13"/>
      <c r="I10" s="216"/>
      <c r="J10" s="13"/>
      <c r="K10" s="13"/>
      <c r="L10" s="13"/>
      <c r="M10" s="13"/>
      <c r="N10" s="13"/>
      <c r="O10" s="13"/>
      <c r="P10" s="13"/>
      <c r="Q10" s="13"/>
      <c r="R10" s="13"/>
      <c r="S10" s="13"/>
      <c r="T10" s="13"/>
      <c r="U10" s="13"/>
      <c r="V10" s="143"/>
      <c r="W10" s="17">
        <v>0</v>
      </c>
      <c r="X10" s="17">
        <v>1</v>
      </c>
      <c r="Y10" s="14" t="s">
        <v>641</v>
      </c>
      <c r="Z10" s="19">
        <v>40415</v>
      </c>
      <c r="AA10" s="5"/>
      <c r="AB10" s="5"/>
    </row>
    <row r="11" spans="1:28" s="12" customFormat="1" ht="25" x14ac:dyDescent="0.3">
      <c r="A11" s="204" t="s">
        <v>595</v>
      </c>
      <c r="B11" s="22"/>
      <c r="C11" s="36">
        <v>40466.123611111114</v>
      </c>
      <c r="D11" s="23" t="s">
        <v>604</v>
      </c>
      <c r="E11" s="23" t="s">
        <v>196</v>
      </c>
      <c r="F11" s="23" t="s">
        <v>657</v>
      </c>
      <c r="G11" s="13"/>
      <c r="H11" s="13"/>
      <c r="I11" s="216"/>
      <c r="J11" s="13"/>
      <c r="K11" s="13"/>
      <c r="L11" s="13"/>
      <c r="M11" s="13"/>
      <c r="N11" s="13"/>
      <c r="O11" s="13"/>
      <c r="P11" s="13"/>
      <c r="Q11" s="13"/>
      <c r="R11" s="13"/>
      <c r="S11" s="13"/>
      <c r="T11" s="13"/>
      <c r="U11" s="13"/>
      <c r="V11" s="143">
        <v>0.6</v>
      </c>
      <c r="W11" s="17">
        <v>0</v>
      </c>
      <c r="X11" s="17">
        <v>1</v>
      </c>
      <c r="Y11" s="14" t="s">
        <v>640</v>
      </c>
      <c r="Z11" s="19">
        <v>40472</v>
      </c>
      <c r="AA11" s="5"/>
      <c r="AB11" s="5"/>
    </row>
    <row r="12" spans="1:28" s="61" customFormat="1" ht="141.75" customHeight="1" x14ac:dyDescent="0.3">
      <c r="A12" s="221"/>
      <c r="B12" s="55"/>
      <c r="C12" s="54" t="s">
        <v>193</v>
      </c>
      <c r="D12" s="55" t="s">
        <v>425</v>
      </c>
      <c r="E12" s="55" t="s">
        <v>196</v>
      </c>
      <c r="F12" s="55"/>
      <c r="G12" s="60">
        <v>63</v>
      </c>
      <c r="H12" s="60">
        <v>63</v>
      </c>
      <c r="I12" s="215">
        <v>3.51</v>
      </c>
      <c r="J12" s="60"/>
      <c r="K12" s="60"/>
      <c r="L12" s="60"/>
      <c r="M12" s="60"/>
      <c r="N12" s="60"/>
      <c r="O12" s="60"/>
      <c r="P12" s="60"/>
      <c r="Q12" s="60"/>
      <c r="R12" s="60"/>
      <c r="S12" s="60"/>
      <c r="T12" s="60"/>
      <c r="U12" s="60"/>
      <c r="V12" s="206"/>
      <c r="W12" s="59">
        <f>SUM(W13)</f>
        <v>0</v>
      </c>
      <c r="X12" s="59">
        <f>SUM(X13)</f>
        <v>1</v>
      </c>
      <c r="Y12" s="55" t="s">
        <v>426</v>
      </c>
      <c r="Z12" s="58">
        <v>39848</v>
      </c>
      <c r="AA12" s="59"/>
      <c r="AB12" s="59"/>
    </row>
    <row r="13" spans="1:28" s="12" customFormat="1" ht="37.5" x14ac:dyDescent="0.3">
      <c r="A13" s="204"/>
      <c r="B13" s="22"/>
      <c r="C13" s="36">
        <v>38696</v>
      </c>
      <c r="D13" s="23" t="s">
        <v>425</v>
      </c>
      <c r="E13" s="23" t="s">
        <v>196</v>
      </c>
      <c r="F13" s="23"/>
      <c r="G13" s="13">
        <v>63</v>
      </c>
      <c r="H13" s="13">
        <v>63</v>
      </c>
      <c r="I13" s="216">
        <v>3.51</v>
      </c>
      <c r="J13" s="13"/>
      <c r="K13" s="13"/>
      <c r="L13" s="13"/>
      <c r="M13" s="13"/>
      <c r="N13" s="13"/>
      <c r="O13" s="13"/>
      <c r="P13" s="13"/>
      <c r="Q13" s="13"/>
      <c r="R13" s="13"/>
      <c r="S13" s="13"/>
      <c r="T13" s="13"/>
      <c r="U13" s="13"/>
      <c r="V13" s="143"/>
      <c r="W13" s="5">
        <v>0</v>
      </c>
      <c r="X13" s="5">
        <v>1</v>
      </c>
      <c r="Y13" s="23" t="s">
        <v>427</v>
      </c>
      <c r="Z13" s="19">
        <v>39848</v>
      </c>
      <c r="AA13" s="5"/>
      <c r="AB13" s="5"/>
    </row>
    <row r="14" spans="1:28" s="61" customFormat="1" ht="50" x14ac:dyDescent="0.3">
      <c r="A14" s="221"/>
      <c r="B14" s="64"/>
      <c r="C14" s="54" t="s">
        <v>193</v>
      </c>
      <c r="D14" s="55" t="s">
        <v>632</v>
      </c>
      <c r="E14" s="55" t="s">
        <v>196</v>
      </c>
      <c r="F14" s="55"/>
      <c r="G14" s="60">
        <v>60</v>
      </c>
      <c r="H14" s="60">
        <v>60</v>
      </c>
      <c r="I14" s="215">
        <v>1.24</v>
      </c>
      <c r="J14" s="60"/>
      <c r="K14" s="60"/>
      <c r="L14" s="60"/>
      <c r="M14" s="60"/>
      <c r="N14" s="60"/>
      <c r="O14" s="60"/>
      <c r="P14" s="60"/>
      <c r="Q14" s="60"/>
      <c r="R14" s="60"/>
      <c r="S14" s="60"/>
      <c r="T14" s="60"/>
      <c r="U14" s="60"/>
      <c r="V14" s="206"/>
      <c r="W14" s="59">
        <f>SUM(W15:W16)</f>
        <v>0</v>
      </c>
      <c r="X14" s="59">
        <f>SUM(X15:X16)</f>
        <v>2</v>
      </c>
      <c r="Y14" s="55" t="s">
        <v>666</v>
      </c>
      <c r="Z14" s="58">
        <v>40508</v>
      </c>
      <c r="AA14" s="59"/>
      <c r="AB14" s="59"/>
    </row>
    <row r="15" spans="1:28" s="12" customFormat="1" ht="13" x14ac:dyDescent="0.3">
      <c r="A15" s="204"/>
      <c r="B15" s="22"/>
      <c r="C15" s="36">
        <v>38696</v>
      </c>
      <c r="D15" s="23" t="s">
        <v>632</v>
      </c>
      <c r="E15" s="23" t="s">
        <v>196</v>
      </c>
      <c r="F15" s="23"/>
      <c r="G15" s="13">
        <v>60</v>
      </c>
      <c r="H15" s="13">
        <v>60</v>
      </c>
      <c r="I15" s="216">
        <v>1.24</v>
      </c>
      <c r="J15" s="13"/>
      <c r="K15" s="13"/>
      <c r="L15" s="13"/>
      <c r="M15" s="13"/>
      <c r="N15" s="13"/>
      <c r="O15" s="13"/>
      <c r="P15" s="13"/>
      <c r="Q15" s="13"/>
      <c r="R15" s="13"/>
      <c r="S15" s="13"/>
      <c r="T15" s="13"/>
      <c r="U15" s="13"/>
      <c r="V15" s="143"/>
      <c r="W15" s="5">
        <v>0</v>
      </c>
      <c r="X15" s="5">
        <v>1</v>
      </c>
      <c r="Y15" s="23"/>
      <c r="Z15" s="19">
        <v>40498</v>
      </c>
      <c r="AA15" s="5"/>
      <c r="AB15" s="5"/>
    </row>
    <row r="16" spans="1:28" s="12" customFormat="1" ht="13" x14ac:dyDescent="0.3">
      <c r="A16" s="204" t="s">
        <v>446</v>
      </c>
      <c r="B16" s="22"/>
      <c r="C16" s="36">
        <v>40468.190972222219</v>
      </c>
      <c r="D16" s="23" t="s">
        <v>632</v>
      </c>
      <c r="E16" s="23" t="s">
        <v>196</v>
      </c>
      <c r="F16" s="23"/>
      <c r="G16" s="13">
        <v>60</v>
      </c>
      <c r="H16" s="13">
        <v>60</v>
      </c>
      <c r="I16" s="216">
        <v>1.24</v>
      </c>
      <c r="J16" s="13"/>
      <c r="K16" s="13"/>
      <c r="L16" s="13"/>
      <c r="M16" s="13"/>
      <c r="N16" s="13"/>
      <c r="O16" s="13"/>
      <c r="P16" s="13"/>
      <c r="Q16" s="13"/>
      <c r="R16" s="13"/>
      <c r="S16" s="13"/>
      <c r="T16" s="13"/>
      <c r="U16" s="13"/>
      <c r="V16" s="143"/>
      <c r="W16" s="5">
        <v>0</v>
      </c>
      <c r="X16" s="5">
        <v>1</v>
      </c>
      <c r="Y16" s="23" t="s">
        <v>652</v>
      </c>
      <c r="Z16" s="19">
        <v>40498</v>
      </c>
      <c r="AA16" s="5"/>
      <c r="AB16" s="5"/>
    </row>
    <row r="17" spans="1:28" s="61" customFormat="1" ht="100" x14ac:dyDescent="0.3">
      <c r="A17" s="221"/>
      <c r="B17" s="64"/>
      <c r="C17" s="54" t="s">
        <v>193</v>
      </c>
      <c r="D17" s="55" t="s">
        <v>283</v>
      </c>
      <c r="E17" s="55"/>
      <c r="F17" s="55"/>
      <c r="G17" s="60">
        <v>231</v>
      </c>
      <c r="H17" s="60">
        <v>231</v>
      </c>
      <c r="I17" s="215"/>
      <c r="J17" s="60"/>
      <c r="K17" s="60"/>
      <c r="L17" s="60"/>
      <c r="M17" s="60"/>
      <c r="N17" s="60"/>
      <c r="O17" s="60"/>
      <c r="P17" s="60"/>
      <c r="Q17" s="60"/>
      <c r="R17" s="60"/>
      <c r="S17" s="60"/>
      <c r="T17" s="60"/>
      <c r="U17" s="60"/>
      <c r="V17" s="206"/>
      <c r="W17" s="59">
        <f>SUM(W18:W21)</f>
        <v>0</v>
      </c>
      <c r="X17" s="59">
        <f>SUM(X18:X21)</f>
        <v>4</v>
      </c>
      <c r="Y17" s="55" t="s">
        <v>662</v>
      </c>
      <c r="Z17" s="58">
        <v>40506</v>
      </c>
      <c r="AA17" s="59"/>
      <c r="AB17" s="59"/>
    </row>
    <row r="18" spans="1:28" s="12" customFormat="1" ht="25" x14ac:dyDescent="0.3">
      <c r="A18" s="204"/>
      <c r="B18" s="22"/>
      <c r="C18" s="36">
        <v>39081</v>
      </c>
      <c r="D18" s="22" t="s">
        <v>283</v>
      </c>
      <c r="E18" s="22" t="s">
        <v>196</v>
      </c>
      <c r="F18" s="22"/>
      <c r="G18" s="13"/>
      <c r="H18" s="13"/>
      <c r="I18" s="216"/>
      <c r="J18" s="18"/>
      <c r="K18" s="18"/>
      <c r="L18" s="18"/>
      <c r="M18" s="18"/>
      <c r="N18" s="18"/>
      <c r="O18" s="18"/>
      <c r="P18" s="18"/>
      <c r="Q18" s="18"/>
      <c r="R18" s="18"/>
      <c r="S18" s="18"/>
      <c r="T18" s="18"/>
      <c r="U18" s="13"/>
      <c r="V18" s="143"/>
      <c r="W18" s="5">
        <v>0</v>
      </c>
      <c r="X18" s="5">
        <v>1</v>
      </c>
      <c r="Y18" s="14" t="s">
        <v>715</v>
      </c>
      <c r="Z18" s="19">
        <v>40570</v>
      </c>
      <c r="AA18" s="17"/>
      <c r="AB18" s="17"/>
    </row>
    <row r="19" spans="1:28" s="12" customFormat="1" ht="13" x14ac:dyDescent="0.3">
      <c r="A19" s="204"/>
      <c r="B19" s="22"/>
      <c r="C19" s="36">
        <v>39493</v>
      </c>
      <c r="D19" s="23" t="s">
        <v>283</v>
      </c>
      <c r="E19" s="23" t="s">
        <v>196</v>
      </c>
      <c r="F19" s="23"/>
      <c r="G19" s="13"/>
      <c r="H19" s="13"/>
      <c r="I19" s="216"/>
      <c r="J19" s="13"/>
      <c r="K19" s="13"/>
      <c r="L19" s="13"/>
      <c r="M19" s="13"/>
      <c r="N19" s="13"/>
      <c r="O19" s="13"/>
      <c r="P19" s="13"/>
      <c r="Q19" s="13"/>
      <c r="R19" s="13"/>
      <c r="S19" s="13"/>
      <c r="T19" s="13"/>
      <c r="U19" s="13"/>
      <c r="V19" s="143"/>
      <c r="W19" s="5">
        <v>0</v>
      </c>
      <c r="X19" s="5">
        <v>1</v>
      </c>
      <c r="Y19" s="23" t="s">
        <v>716</v>
      </c>
      <c r="Z19" s="19">
        <v>40570</v>
      </c>
      <c r="AA19" s="5"/>
      <c r="AB19" s="5"/>
    </row>
    <row r="20" spans="1:28" s="12" customFormat="1" ht="25" x14ac:dyDescent="0.3">
      <c r="A20" s="204" t="s">
        <v>446</v>
      </c>
      <c r="B20" s="22"/>
      <c r="C20" s="36">
        <v>39553.160416666666</v>
      </c>
      <c r="D20" s="23" t="s">
        <v>283</v>
      </c>
      <c r="E20" s="23" t="s">
        <v>196</v>
      </c>
      <c r="F20" s="23"/>
      <c r="G20" s="13"/>
      <c r="H20" s="13"/>
      <c r="I20" s="216"/>
      <c r="J20" s="13"/>
      <c r="K20" s="13"/>
      <c r="L20" s="13"/>
      <c r="M20" s="13"/>
      <c r="N20" s="13"/>
      <c r="O20" s="13"/>
      <c r="P20" s="13"/>
      <c r="Q20" s="13"/>
      <c r="R20" s="13"/>
      <c r="S20" s="13"/>
      <c r="T20" s="13"/>
      <c r="U20" s="13"/>
      <c r="V20" s="143"/>
      <c r="W20" s="5">
        <v>0</v>
      </c>
      <c r="X20" s="5">
        <v>1</v>
      </c>
      <c r="Y20" s="23" t="s">
        <v>714</v>
      </c>
      <c r="Z20" s="19">
        <v>40506</v>
      </c>
      <c r="AA20" s="5"/>
      <c r="AB20" s="5"/>
    </row>
    <row r="21" spans="1:28" s="12" customFormat="1" ht="25" x14ac:dyDescent="0.3">
      <c r="A21" s="204" t="s">
        <v>446</v>
      </c>
      <c r="B21" s="22"/>
      <c r="C21" s="36">
        <v>40468.211805555555</v>
      </c>
      <c r="D21" s="23" t="s">
        <v>283</v>
      </c>
      <c r="E21" s="23" t="s">
        <v>196</v>
      </c>
      <c r="F21" s="23"/>
      <c r="G21" s="13"/>
      <c r="H21" s="13"/>
      <c r="I21" s="216"/>
      <c r="J21" s="13"/>
      <c r="K21" s="13"/>
      <c r="L21" s="13"/>
      <c r="M21" s="13"/>
      <c r="N21" s="13"/>
      <c r="O21" s="13"/>
      <c r="P21" s="13"/>
      <c r="Q21" s="13"/>
      <c r="R21" s="13"/>
      <c r="S21" s="13"/>
      <c r="T21" s="13"/>
      <c r="U21" s="13"/>
      <c r="V21" s="143"/>
      <c r="W21" s="5">
        <v>0</v>
      </c>
      <c r="X21" s="5">
        <v>1</v>
      </c>
      <c r="Y21" s="23" t="s">
        <v>661</v>
      </c>
      <c r="Z21" s="19">
        <v>40506</v>
      </c>
      <c r="AA21" s="5"/>
      <c r="AB21" s="5"/>
    </row>
    <row r="22" spans="1:28" s="12" customFormat="1" ht="112.5" x14ac:dyDescent="0.3">
      <c r="A22" s="221"/>
      <c r="B22" s="64"/>
      <c r="C22" s="54" t="s">
        <v>193</v>
      </c>
      <c r="D22" s="55" t="s">
        <v>281</v>
      </c>
      <c r="E22" s="55" t="s">
        <v>196</v>
      </c>
      <c r="F22" s="55"/>
      <c r="G22" s="60">
        <v>95</v>
      </c>
      <c r="H22" s="60">
        <v>95</v>
      </c>
      <c r="I22" s="215">
        <v>3.76</v>
      </c>
      <c r="J22" s="60"/>
      <c r="K22" s="60"/>
      <c r="L22" s="60"/>
      <c r="M22" s="60"/>
      <c r="N22" s="60"/>
      <c r="O22" s="60"/>
      <c r="P22" s="60"/>
      <c r="Q22" s="60"/>
      <c r="R22" s="60"/>
      <c r="S22" s="60"/>
      <c r="T22" s="60"/>
      <c r="U22" s="60"/>
      <c r="V22" s="206"/>
      <c r="W22" s="59">
        <f>SUM(W23:W27)</f>
        <v>0</v>
      </c>
      <c r="X22" s="59">
        <f>SUM(X23:X27)</f>
        <v>5</v>
      </c>
      <c r="Y22" s="55" t="s">
        <v>422</v>
      </c>
      <c r="Z22" s="58">
        <v>40507</v>
      </c>
      <c r="AA22" s="59"/>
      <c r="AB22" s="59"/>
    </row>
    <row r="23" spans="1:28" s="12" customFormat="1" ht="13" x14ac:dyDescent="0.3">
      <c r="A23" s="204"/>
      <c r="B23" s="22"/>
      <c r="C23" s="36">
        <v>39685.125</v>
      </c>
      <c r="D23" s="23" t="s">
        <v>281</v>
      </c>
      <c r="E23" s="23" t="s">
        <v>196</v>
      </c>
      <c r="F23" s="23"/>
      <c r="G23" s="13"/>
      <c r="H23" s="13"/>
      <c r="I23" s="216"/>
      <c r="J23" s="13"/>
      <c r="K23" s="13"/>
      <c r="L23" s="13"/>
      <c r="M23" s="13"/>
      <c r="N23" s="13"/>
      <c r="O23" s="13"/>
      <c r="P23" s="13"/>
      <c r="Q23" s="13"/>
      <c r="R23" s="13"/>
      <c r="S23" s="13"/>
      <c r="T23" s="13"/>
      <c r="U23" s="13"/>
      <c r="V23" s="143"/>
      <c r="W23" s="5">
        <v>0</v>
      </c>
      <c r="X23" s="5">
        <v>1</v>
      </c>
      <c r="Y23" s="23" t="s">
        <v>665</v>
      </c>
      <c r="Z23" s="19">
        <v>40507</v>
      </c>
      <c r="AA23" s="5"/>
      <c r="AB23" s="5"/>
    </row>
    <row r="24" spans="1:28" s="12" customFormat="1" ht="13" x14ac:dyDescent="0.3">
      <c r="A24" s="204"/>
      <c r="B24" s="22"/>
      <c r="C24" s="36">
        <v>38697.090277777781</v>
      </c>
      <c r="D24" s="23" t="s">
        <v>281</v>
      </c>
      <c r="E24" s="23" t="s">
        <v>196</v>
      </c>
      <c r="F24" s="23"/>
      <c r="G24" s="13"/>
      <c r="H24" s="13"/>
      <c r="I24" s="216"/>
      <c r="J24" s="13"/>
      <c r="K24" s="13"/>
      <c r="L24" s="13"/>
      <c r="M24" s="13"/>
      <c r="N24" s="13"/>
      <c r="O24" s="13"/>
      <c r="P24" s="13"/>
      <c r="Q24" s="13"/>
      <c r="R24" s="13"/>
      <c r="S24" s="13"/>
      <c r="T24" s="13"/>
      <c r="U24" s="13"/>
      <c r="V24" s="143"/>
      <c r="W24" s="5">
        <v>0</v>
      </c>
      <c r="X24" s="5">
        <v>1</v>
      </c>
      <c r="Y24" s="23"/>
      <c r="Z24" s="19">
        <v>40507</v>
      </c>
      <c r="AA24" s="5"/>
      <c r="AB24" s="5"/>
    </row>
    <row r="25" spans="1:28" s="12" customFormat="1" ht="13" x14ac:dyDescent="0.3">
      <c r="A25" s="204"/>
      <c r="B25" s="22"/>
      <c r="C25" s="36">
        <v>39493</v>
      </c>
      <c r="D25" s="23" t="s">
        <v>281</v>
      </c>
      <c r="E25" s="23" t="s">
        <v>196</v>
      </c>
      <c r="F25" s="23"/>
      <c r="G25" s="13"/>
      <c r="H25" s="13"/>
      <c r="I25" s="216"/>
      <c r="J25" s="13"/>
      <c r="K25" s="13"/>
      <c r="L25" s="13"/>
      <c r="M25" s="13"/>
      <c r="N25" s="13"/>
      <c r="O25" s="13"/>
      <c r="P25" s="13"/>
      <c r="Q25" s="13"/>
      <c r="R25" s="13"/>
      <c r="S25" s="13"/>
      <c r="T25" s="13"/>
      <c r="U25" s="13"/>
      <c r="V25" s="143"/>
      <c r="W25" s="5">
        <v>0</v>
      </c>
      <c r="X25" s="5">
        <v>1</v>
      </c>
      <c r="Y25" s="23"/>
      <c r="Z25" s="19">
        <v>39498</v>
      </c>
      <c r="AA25" s="5"/>
      <c r="AB25" s="5"/>
    </row>
    <row r="26" spans="1:28" s="12" customFormat="1" ht="37.5" x14ac:dyDescent="0.3">
      <c r="A26" s="204"/>
      <c r="B26" s="23"/>
      <c r="C26" s="36">
        <v>40293.22152777778</v>
      </c>
      <c r="D26" s="23" t="s">
        <v>281</v>
      </c>
      <c r="E26" s="23" t="s">
        <v>196</v>
      </c>
      <c r="F26" s="23"/>
      <c r="G26" s="18"/>
      <c r="H26" s="18"/>
      <c r="I26" s="217"/>
      <c r="J26" s="18"/>
      <c r="K26" s="18"/>
      <c r="L26" s="18"/>
      <c r="M26" s="18"/>
      <c r="N26" s="18"/>
      <c r="O26" s="18"/>
      <c r="P26" s="18"/>
      <c r="Q26" s="18"/>
      <c r="R26" s="18"/>
      <c r="S26" s="18"/>
      <c r="T26" s="18"/>
      <c r="U26" s="18"/>
      <c r="V26" s="140" t="s">
        <v>509</v>
      </c>
      <c r="W26" s="17">
        <v>0</v>
      </c>
      <c r="X26" s="17">
        <v>1</v>
      </c>
      <c r="Y26" s="14" t="s">
        <v>502</v>
      </c>
      <c r="Z26" s="19">
        <v>40295</v>
      </c>
      <c r="AA26" s="17"/>
      <c r="AB26" s="17"/>
    </row>
    <row r="27" spans="1:28" s="12" customFormat="1" ht="13" x14ac:dyDescent="0.3">
      <c r="A27" s="204" t="s">
        <v>446</v>
      </c>
      <c r="B27" s="23"/>
      <c r="C27" s="36">
        <v>40468.185416666667</v>
      </c>
      <c r="D27" s="23" t="s">
        <v>281</v>
      </c>
      <c r="E27" s="23" t="s">
        <v>196</v>
      </c>
      <c r="F27" s="23"/>
      <c r="G27" s="18"/>
      <c r="H27" s="18"/>
      <c r="I27" s="217"/>
      <c r="J27" s="18"/>
      <c r="K27" s="18"/>
      <c r="L27" s="18"/>
      <c r="M27" s="18"/>
      <c r="N27" s="18"/>
      <c r="O27" s="18"/>
      <c r="P27" s="18"/>
      <c r="Q27" s="18"/>
      <c r="R27" s="18"/>
      <c r="S27" s="18"/>
      <c r="T27" s="18"/>
      <c r="U27" s="18"/>
      <c r="V27" s="140"/>
      <c r="W27" s="17">
        <v>0</v>
      </c>
      <c r="X27" s="17">
        <v>1</v>
      </c>
      <c r="Y27" s="14"/>
      <c r="Z27" s="19">
        <v>40507</v>
      </c>
      <c r="AA27" s="17"/>
      <c r="AB27" s="17"/>
    </row>
    <row r="28" spans="1:28" s="12" customFormat="1" ht="25" x14ac:dyDescent="0.3">
      <c r="A28" s="221"/>
      <c r="B28" s="64"/>
      <c r="C28" s="54" t="s">
        <v>193</v>
      </c>
      <c r="D28" s="55" t="s">
        <v>613</v>
      </c>
      <c r="E28" s="55" t="s">
        <v>222</v>
      </c>
      <c r="F28" s="55"/>
      <c r="G28" s="60"/>
      <c r="H28" s="60"/>
      <c r="I28" s="215"/>
      <c r="J28" s="60"/>
      <c r="K28" s="60"/>
      <c r="L28" s="60"/>
      <c r="M28" s="60"/>
      <c r="N28" s="60"/>
      <c r="O28" s="60"/>
      <c r="P28" s="60"/>
      <c r="Q28" s="60"/>
      <c r="R28" s="60"/>
      <c r="S28" s="60"/>
      <c r="T28" s="60"/>
      <c r="U28" s="60"/>
      <c r="V28" s="206"/>
      <c r="W28" s="59">
        <f>SUM(W29)</f>
        <v>0</v>
      </c>
      <c r="X28" s="59">
        <f>SUM(X29)</f>
        <v>1</v>
      </c>
      <c r="Y28" s="55"/>
      <c r="Z28" s="58">
        <v>39848</v>
      </c>
      <c r="AA28" s="59"/>
      <c r="AB28" s="59"/>
    </row>
    <row r="29" spans="1:28" s="12" customFormat="1" ht="25" x14ac:dyDescent="0.3">
      <c r="A29" s="204" t="s">
        <v>645</v>
      </c>
      <c r="B29" s="23"/>
      <c r="C29" s="36">
        <v>40441.234027777777</v>
      </c>
      <c r="D29" s="23" t="s">
        <v>613</v>
      </c>
      <c r="E29" s="23" t="s">
        <v>222</v>
      </c>
      <c r="F29" s="23"/>
      <c r="G29" s="18"/>
      <c r="H29" s="18"/>
      <c r="I29" s="217"/>
      <c r="J29" s="18"/>
      <c r="K29" s="18"/>
      <c r="L29" s="18"/>
      <c r="M29" s="18"/>
      <c r="N29" s="18"/>
      <c r="O29" s="18"/>
      <c r="P29" s="18"/>
      <c r="Q29" s="18"/>
      <c r="R29" s="18"/>
      <c r="S29" s="18"/>
      <c r="T29" s="18"/>
      <c r="U29" s="18"/>
      <c r="V29" s="207"/>
      <c r="W29" s="17">
        <v>0</v>
      </c>
      <c r="X29" s="17">
        <v>1</v>
      </c>
      <c r="Y29" s="14" t="s">
        <v>614</v>
      </c>
      <c r="Z29" s="19">
        <v>40448</v>
      </c>
      <c r="AA29" s="17"/>
      <c r="AB29" s="17"/>
    </row>
    <row r="30" spans="1:28" s="12" customFormat="1" ht="13" x14ac:dyDescent="0.3">
      <c r="A30" s="204"/>
      <c r="B30" s="23"/>
      <c r="C30" s="36">
        <v>38810</v>
      </c>
      <c r="D30" s="23" t="s">
        <v>218</v>
      </c>
      <c r="E30" s="23" t="s">
        <v>219</v>
      </c>
      <c r="F30" s="23"/>
      <c r="G30" s="18"/>
      <c r="H30" s="18"/>
      <c r="I30" s="217"/>
      <c r="J30" s="18"/>
      <c r="K30" s="18"/>
      <c r="L30" s="18"/>
      <c r="M30" s="18"/>
      <c r="N30" s="18"/>
      <c r="O30" s="18"/>
      <c r="P30" s="18"/>
      <c r="Q30" s="18"/>
      <c r="R30" s="18"/>
      <c r="S30" s="18"/>
      <c r="T30" s="18"/>
      <c r="U30" s="18"/>
      <c r="V30" s="140" t="s">
        <v>6</v>
      </c>
      <c r="W30" s="17">
        <v>0</v>
      </c>
      <c r="X30" s="17">
        <v>1</v>
      </c>
      <c r="Y30" s="14"/>
      <c r="Z30" s="19">
        <v>38817</v>
      </c>
      <c r="AA30" s="17"/>
      <c r="AB30" s="17"/>
    </row>
    <row r="31" spans="1:28" s="61" customFormat="1" ht="75" x14ac:dyDescent="0.3">
      <c r="A31" s="221"/>
      <c r="B31" s="64"/>
      <c r="C31" s="54" t="s">
        <v>193</v>
      </c>
      <c r="D31" s="55" t="s">
        <v>282</v>
      </c>
      <c r="E31" s="55" t="s">
        <v>196</v>
      </c>
      <c r="F31" s="55"/>
      <c r="G31" s="60">
        <v>60</v>
      </c>
      <c r="H31" s="60">
        <v>60</v>
      </c>
      <c r="I31" s="215">
        <v>3.75</v>
      </c>
      <c r="J31" s="60"/>
      <c r="K31" s="60"/>
      <c r="L31" s="60"/>
      <c r="M31" s="60"/>
      <c r="N31" s="60"/>
      <c r="O31" s="60"/>
      <c r="P31" s="60"/>
      <c r="Q31" s="60"/>
      <c r="R31" s="60"/>
      <c r="S31" s="60"/>
      <c r="T31" s="60"/>
      <c r="U31" s="60"/>
      <c r="V31" s="206"/>
      <c r="W31" s="59">
        <f>SUM(W32:W34)</f>
        <v>0</v>
      </c>
      <c r="X31" s="59">
        <f>SUM(X32:X34)</f>
        <v>3</v>
      </c>
      <c r="Y31" s="55" t="s">
        <v>664</v>
      </c>
      <c r="Z31" s="58">
        <v>40507</v>
      </c>
      <c r="AA31" s="59"/>
      <c r="AB31" s="59"/>
    </row>
    <row r="32" spans="1:28" s="12" customFormat="1" ht="13" x14ac:dyDescent="0.3">
      <c r="A32" s="204"/>
      <c r="B32" s="22"/>
      <c r="C32" s="36">
        <v>39493</v>
      </c>
      <c r="D32" s="23" t="s">
        <v>282</v>
      </c>
      <c r="E32" s="23" t="s">
        <v>196</v>
      </c>
      <c r="F32" s="23"/>
      <c r="G32" s="13"/>
      <c r="H32" s="13"/>
      <c r="I32" s="216"/>
      <c r="J32" s="13"/>
      <c r="K32" s="13"/>
      <c r="L32" s="13"/>
      <c r="M32" s="13"/>
      <c r="N32" s="13"/>
      <c r="O32" s="13"/>
      <c r="P32" s="13"/>
      <c r="Q32" s="13"/>
      <c r="R32" s="13"/>
      <c r="S32" s="13"/>
      <c r="T32" s="13"/>
      <c r="U32" s="13"/>
      <c r="V32" s="143"/>
      <c r="W32" s="5">
        <v>0</v>
      </c>
      <c r="X32" s="5">
        <v>1</v>
      </c>
      <c r="Y32" s="23"/>
      <c r="Z32" s="19">
        <v>39498</v>
      </c>
      <c r="AA32" s="5"/>
      <c r="AB32" s="5"/>
    </row>
    <row r="33" spans="1:28" s="12" customFormat="1" ht="37.5" x14ac:dyDescent="0.3">
      <c r="A33" s="204"/>
      <c r="B33" s="22"/>
      <c r="C33" s="36">
        <v>39553.17083333333</v>
      </c>
      <c r="D33" s="23" t="s">
        <v>282</v>
      </c>
      <c r="E33" s="23" t="s">
        <v>196</v>
      </c>
      <c r="F33" s="23"/>
      <c r="G33" s="13"/>
      <c r="H33" s="13"/>
      <c r="I33" s="216"/>
      <c r="J33" s="13"/>
      <c r="K33" s="13"/>
      <c r="L33" s="13"/>
      <c r="M33" s="13"/>
      <c r="N33" s="13"/>
      <c r="O33" s="13"/>
      <c r="P33" s="13"/>
      <c r="Q33" s="13"/>
      <c r="R33" s="13"/>
      <c r="S33" s="13"/>
      <c r="T33" s="13"/>
      <c r="U33" s="13"/>
      <c r="V33" s="143"/>
      <c r="W33" s="5">
        <v>0</v>
      </c>
      <c r="X33" s="5">
        <v>1</v>
      </c>
      <c r="Y33" s="23" t="s">
        <v>166</v>
      </c>
      <c r="Z33" s="19">
        <v>40508</v>
      </c>
      <c r="AA33" s="5"/>
      <c r="AB33" s="5"/>
    </row>
    <row r="34" spans="1:28" x14ac:dyDescent="0.25">
      <c r="A34" s="204" t="s">
        <v>446</v>
      </c>
      <c r="C34" s="36">
        <v>40468.186805555553</v>
      </c>
      <c r="D34" s="29" t="s">
        <v>282</v>
      </c>
      <c r="E34" s="29" t="s">
        <v>196</v>
      </c>
      <c r="W34" s="1">
        <v>0</v>
      </c>
      <c r="X34" s="1">
        <v>1</v>
      </c>
      <c r="Z34" s="4">
        <v>40508</v>
      </c>
    </row>
    <row r="35" spans="1:28" s="59" customFormat="1" ht="150" x14ac:dyDescent="0.25">
      <c r="A35" s="53"/>
      <c r="B35" s="64"/>
      <c r="C35" s="54" t="s">
        <v>193</v>
      </c>
      <c r="D35" s="55" t="s">
        <v>163</v>
      </c>
      <c r="E35" s="55" t="s">
        <v>196</v>
      </c>
      <c r="F35" s="64"/>
      <c r="G35" s="60">
        <v>99</v>
      </c>
      <c r="H35" s="60">
        <v>99</v>
      </c>
      <c r="I35" s="215"/>
      <c r="J35" s="60"/>
      <c r="K35" s="60"/>
      <c r="L35" s="60"/>
      <c r="M35" s="60"/>
      <c r="N35" s="60"/>
      <c r="O35" s="60"/>
      <c r="P35" s="60"/>
      <c r="Q35" s="60"/>
      <c r="R35" s="60"/>
      <c r="S35" s="60"/>
      <c r="T35" s="60"/>
      <c r="U35" s="60"/>
      <c r="V35" s="206"/>
      <c r="W35" s="59">
        <f>SUM(W36:W37)</f>
        <v>0</v>
      </c>
      <c r="X35" s="59">
        <f>SUM(X36:X37)</f>
        <v>2</v>
      </c>
      <c r="Y35" s="55" t="s">
        <v>667</v>
      </c>
      <c r="Z35" s="222">
        <v>40508</v>
      </c>
    </row>
    <row r="36" spans="1:28" s="12" customFormat="1" ht="25" x14ac:dyDescent="0.3">
      <c r="A36" s="204"/>
      <c r="B36" s="22"/>
      <c r="C36" s="36">
        <v>39552</v>
      </c>
      <c r="D36" s="23" t="s">
        <v>163</v>
      </c>
      <c r="E36" s="23" t="s">
        <v>196</v>
      </c>
      <c r="F36" s="23"/>
      <c r="G36" s="13"/>
      <c r="H36" s="13"/>
      <c r="I36" s="216"/>
      <c r="J36" s="13"/>
      <c r="K36" s="13"/>
      <c r="L36" s="13"/>
      <c r="M36" s="13"/>
      <c r="N36" s="13"/>
      <c r="O36" s="13"/>
      <c r="P36" s="13"/>
      <c r="Q36" s="13"/>
      <c r="R36" s="13"/>
      <c r="S36" s="13"/>
      <c r="T36" s="13"/>
      <c r="U36" s="13"/>
      <c r="V36" s="143"/>
      <c r="W36" s="5">
        <v>0</v>
      </c>
      <c r="X36" s="5">
        <v>1</v>
      </c>
      <c r="Y36" s="23" t="s">
        <v>164</v>
      </c>
      <c r="Z36" s="19">
        <v>40508</v>
      </c>
      <c r="AA36" s="5"/>
      <c r="AB36" s="5"/>
    </row>
    <row r="37" spans="1:28" s="12" customFormat="1" ht="13" x14ac:dyDescent="0.3">
      <c r="A37" s="204" t="s">
        <v>446</v>
      </c>
      <c r="B37" s="22"/>
      <c r="C37" s="36">
        <v>40468.207638888889</v>
      </c>
      <c r="D37" s="23" t="s">
        <v>163</v>
      </c>
      <c r="E37" s="23" t="s">
        <v>196</v>
      </c>
      <c r="F37" s="23"/>
      <c r="G37" s="13"/>
      <c r="H37" s="13"/>
      <c r="I37" s="216"/>
      <c r="J37" s="13"/>
      <c r="K37" s="13"/>
      <c r="L37" s="13"/>
      <c r="M37" s="13"/>
      <c r="N37" s="13"/>
      <c r="O37" s="13"/>
      <c r="P37" s="13"/>
      <c r="Q37" s="13"/>
      <c r="R37" s="13"/>
      <c r="S37" s="13"/>
      <c r="T37" s="13"/>
      <c r="U37" s="13"/>
      <c r="V37" s="143"/>
      <c r="W37" s="5">
        <v>0</v>
      </c>
      <c r="X37" s="5">
        <v>1</v>
      </c>
      <c r="Y37" s="23"/>
      <c r="Z37" s="19">
        <v>40508</v>
      </c>
      <c r="AA37" s="5"/>
      <c r="AB37" s="5"/>
    </row>
    <row r="38" spans="1:28" s="12" customFormat="1" ht="13" x14ac:dyDescent="0.3">
      <c r="A38" s="204"/>
      <c r="B38" s="23"/>
      <c r="C38" s="36">
        <v>38730</v>
      </c>
      <c r="D38" s="23" t="s">
        <v>213</v>
      </c>
      <c r="E38" s="23" t="s">
        <v>214</v>
      </c>
      <c r="F38" s="23"/>
      <c r="G38" s="18"/>
      <c r="H38" s="18"/>
      <c r="I38" s="217"/>
      <c r="J38" s="18"/>
      <c r="K38" s="18"/>
      <c r="L38" s="18"/>
      <c r="M38" s="18"/>
      <c r="N38" s="18"/>
      <c r="O38" s="18"/>
      <c r="P38" s="18"/>
      <c r="Q38" s="18"/>
      <c r="R38" s="18"/>
      <c r="S38" s="18"/>
      <c r="T38" s="18"/>
      <c r="U38" s="18"/>
      <c r="V38" s="207"/>
      <c r="W38" s="17">
        <v>0</v>
      </c>
      <c r="X38" s="17">
        <v>1</v>
      </c>
      <c r="Y38" s="14"/>
      <c r="Z38" s="19">
        <v>38734</v>
      </c>
      <c r="AA38" s="17"/>
      <c r="AB38" s="17"/>
    </row>
    <row r="39" spans="1:28" s="12" customFormat="1" ht="25" x14ac:dyDescent="0.3">
      <c r="A39" s="204" t="s">
        <v>446</v>
      </c>
      <c r="B39" s="23"/>
      <c r="C39" s="36">
        <v>39843.990972222222</v>
      </c>
      <c r="D39" s="23" t="s">
        <v>597</v>
      </c>
      <c r="E39" s="23" t="s">
        <v>196</v>
      </c>
      <c r="F39" s="23"/>
      <c r="G39" s="18"/>
      <c r="H39" s="18"/>
      <c r="I39" s="217"/>
      <c r="J39" s="18"/>
      <c r="K39" s="18"/>
      <c r="L39" s="18"/>
      <c r="M39" s="18"/>
      <c r="N39" s="18"/>
      <c r="O39" s="18"/>
      <c r="P39" s="18"/>
      <c r="Q39" s="18"/>
      <c r="R39" s="18"/>
      <c r="S39" s="18"/>
      <c r="T39" s="18"/>
      <c r="U39" s="18"/>
      <c r="V39" s="207"/>
      <c r="W39" s="17">
        <v>0</v>
      </c>
      <c r="X39" s="17">
        <v>1</v>
      </c>
      <c r="Y39" s="14" t="s">
        <v>598</v>
      </c>
      <c r="Z39" s="19">
        <v>40415</v>
      </c>
      <c r="AA39" s="17"/>
      <c r="AB39" s="17"/>
    </row>
    <row r="40" spans="1:28" s="61" customFormat="1" ht="115.5" customHeight="1" x14ac:dyDescent="0.3">
      <c r="A40" s="221"/>
      <c r="B40" s="55"/>
      <c r="C40" s="54" t="s">
        <v>193</v>
      </c>
      <c r="D40" s="55" t="s">
        <v>812</v>
      </c>
      <c r="E40" s="55" t="s">
        <v>196</v>
      </c>
      <c r="F40" s="55" t="s">
        <v>657</v>
      </c>
      <c r="G40" s="56">
        <v>114</v>
      </c>
      <c r="H40" s="56">
        <v>114</v>
      </c>
      <c r="I40" s="218">
        <v>1200</v>
      </c>
      <c r="N40" s="56"/>
      <c r="O40" s="56"/>
      <c r="P40" s="56"/>
      <c r="Q40" s="56"/>
      <c r="R40" s="56"/>
      <c r="S40" s="56"/>
      <c r="T40" s="56"/>
      <c r="U40" s="56"/>
      <c r="V40" s="208"/>
      <c r="W40" s="53"/>
      <c r="X40" s="53"/>
      <c r="Y40" s="55" t="s">
        <v>517</v>
      </c>
      <c r="Z40" s="58">
        <v>40304</v>
      </c>
      <c r="AA40" s="53"/>
      <c r="AB40" s="53"/>
    </row>
    <row r="41" spans="1:28" s="12" customFormat="1" ht="37.5" x14ac:dyDescent="0.3">
      <c r="A41" s="204"/>
      <c r="B41" s="23"/>
      <c r="C41" s="36">
        <v>39082.125</v>
      </c>
      <c r="D41" s="23" t="s">
        <v>514</v>
      </c>
      <c r="E41" s="23" t="s">
        <v>196</v>
      </c>
      <c r="F41" s="23" t="s">
        <v>657</v>
      </c>
      <c r="G41" s="18">
        <v>114</v>
      </c>
      <c r="H41" s="18">
        <v>114</v>
      </c>
      <c r="I41" s="217">
        <v>1200</v>
      </c>
      <c r="J41" s="18"/>
      <c r="K41" s="18"/>
      <c r="L41" s="18"/>
      <c r="M41" s="18"/>
      <c r="N41" s="18"/>
      <c r="O41" s="18"/>
      <c r="P41" s="18"/>
      <c r="Q41" s="18"/>
      <c r="R41" s="18"/>
      <c r="S41" s="18"/>
      <c r="T41" s="18"/>
      <c r="U41" s="18"/>
      <c r="V41" s="207"/>
      <c r="W41" s="17">
        <v>0</v>
      </c>
      <c r="X41" s="17">
        <v>1</v>
      </c>
      <c r="Y41" s="14" t="s">
        <v>556</v>
      </c>
      <c r="Z41" s="19">
        <v>40323</v>
      </c>
      <c r="AA41" s="17"/>
      <c r="AB41" s="17"/>
    </row>
    <row r="42" spans="1:28" s="12" customFormat="1" ht="25" x14ac:dyDescent="0.3">
      <c r="A42" s="204"/>
      <c r="B42" s="23"/>
      <c r="C42" s="36">
        <v>40086.179861111108</v>
      </c>
      <c r="D42" s="23" t="s">
        <v>514</v>
      </c>
      <c r="E42" s="23" t="s">
        <v>196</v>
      </c>
      <c r="F42" s="23" t="s">
        <v>657</v>
      </c>
      <c r="G42" s="18">
        <v>114</v>
      </c>
      <c r="H42" s="18">
        <v>114</v>
      </c>
      <c r="I42" s="217">
        <v>1200</v>
      </c>
      <c r="J42" s="18">
        <v>11.69</v>
      </c>
      <c r="K42" s="18">
        <v>86.4</v>
      </c>
      <c r="L42" s="18"/>
      <c r="M42" s="18"/>
      <c r="N42" s="18">
        <v>-2</v>
      </c>
      <c r="O42" s="18">
        <v>-1.9</v>
      </c>
      <c r="P42" s="18"/>
      <c r="Q42" s="18"/>
      <c r="R42" s="18">
        <v>5.3</v>
      </c>
      <c r="S42" s="18">
        <v>89.9</v>
      </c>
      <c r="T42" s="18">
        <f>1799.4/60</f>
        <v>29.990000000000002</v>
      </c>
      <c r="U42" s="18">
        <v>36</v>
      </c>
      <c r="V42" s="207"/>
      <c r="W42" s="17">
        <v>0</v>
      </c>
      <c r="X42" s="17">
        <v>1</v>
      </c>
      <c r="Y42" s="14" t="s">
        <v>516</v>
      </c>
      <c r="Z42" s="19">
        <v>40304</v>
      </c>
      <c r="AA42" s="17"/>
      <c r="AB42" s="17"/>
    </row>
    <row r="43" spans="1:28" s="12" customFormat="1" ht="50" x14ac:dyDescent="0.3">
      <c r="A43" s="204" t="s">
        <v>645</v>
      </c>
      <c r="B43" s="23"/>
      <c r="C43" s="36">
        <v>40441.218055555553</v>
      </c>
      <c r="D43" s="23" t="s">
        <v>514</v>
      </c>
      <c r="E43" s="23" t="s">
        <v>196</v>
      </c>
      <c r="F43" s="23" t="s">
        <v>657</v>
      </c>
      <c r="G43" s="18">
        <v>114</v>
      </c>
      <c r="H43" s="18">
        <v>114</v>
      </c>
      <c r="I43" s="217">
        <v>1200</v>
      </c>
      <c r="J43" s="18">
        <v>11.78</v>
      </c>
      <c r="K43" s="18">
        <v>91.3</v>
      </c>
      <c r="L43" s="18"/>
      <c r="M43" s="18"/>
      <c r="N43" s="18"/>
      <c r="O43" s="18"/>
      <c r="P43" s="18"/>
      <c r="Q43" s="18"/>
      <c r="R43" s="18"/>
      <c r="S43" s="18"/>
      <c r="T43" s="18">
        <v>29.75</v>
      </c>
      <c r="U43" s="18">
        <v>38.049999999999997</v>
      </c>
      <c r="V43" s="207"/>
      <c r="W43" s="17">
        <v>0</v>
      </c>
      <c r="X43" s="17">
        <v>1</v>
      </c>
      <c r="Y43" s="14" t="s">
        <v>610</v>
      </c>
      <c r="Z43" s="19">
        <v>40570</v>
      </c>
      <c r="AA43" s="17"/>
      <c r="AB43" s="17"/>
    </row>
    <row r="44" spans="1:28" s="61" customFormat="1" ht="112.5" x14ac:dyDescent="0.3">
      <c r="A44" s="204"/>
      <c r="B44" s="22"/>
      <c r="C44" s="36">
        <v>39671</v>
      </c>
      <c r="D44" s="23" t="s">
        <v>183</v>
      </c>
      <c r="E44" s="23" t="s">
        <v>270</v>
      </c>
      <c r="F44" s="23"/>
      <c r="G44" s="13"/>
      <c r="H44" s="13"/>
      <c r="I44" s="216"/>
      <c r="J44" s="13"/>
      <c r="K44" s="13"/>
      <c r="L44" s="13"/>
      <c r="M44" s="13"/>
      <c r="N44" s="13"/>
      <c r="O44" s="13"/>
      <c r="P44" s="13"/>
      <c r="Q44" s="13"/>
      <c r="R44" s="13"/>
      <c r="S44" s="13"/>
      <c r="T44" s="13"/>
      <c r="U44" s="13"/>
      <c r="V44" s="143"/>
      <c r="W44" s="5">
        <v>0</v>
      </c>
      <c r="X44" s="5">
        <v>1</v>
      </c>
      <c r="Y44" s="23" t="s">
        <v>669</v>
      </c>
      <c r="Z44" s="19">
        <v>39672</v>
      </c>
      <c r="AA44" s="5"/>
      <c r="AB44" s="5"/>
    </row>
    <row r="45" spans="1:28" s="61" customFormat="1" ht="37.5" x14ac:dyDescent="0.3">
      <c r="A45" s="221"/>
      <c r="B45" s="64"/>
      <c r="C45" s="54" t="s">
        <v>193</v>
      </c>
      <c r="D45" s="55" t="s">
        <v>668</v>
      </c>
      <c r="E45" s="55" t="s">
        <v>224</v>
      </c>
      <c r="F45" s="55" t="s">
        <v>672</v>
      </c>
      <c r="G45" s="60">
        <v>82</v>
      </c>
      <c r="H45" s="60">
        <v>3</v>
      </c>
      <c r="I45" s="215">
        <v>0.4</v>
      </c>
      <c r="J45" s="60"/>
      <c r="K45" s="60"/>
      <c r="L45" s="60"/>
      <c r="M45" s="60"/>
      <c r="N45" s="60"/>
      <c r="O45" s="60"/>
      <c r="P45" s="60"/>
      <c r="Q45" s="60"/>
      <c r="R45" s="60"/>
      <c r="S45" s="60"/>
      <c r="T45" s="60"/>
      <c r="U45" s="60"/>
      <c r="V45" s="206"/>
      <c r="W45" s="59">
        <f>SUM(W46)</f>
        <v>0</v>
      </c>
      <c r="X45" s="59">
        <f>SUM(X46)</f>
        <v>1</v>
      </c>
      <c r="Y45" s="55" t="s">
        <v>670</v>
      </c>
      <c r="Z45" s="58">
        <v>40513</v>
      </c>
      <c r="AA45" s="59"/>
      <c r="AB45" s="59"/>
    </row>
    <row r="46" spans="1:28" s="61" customFormat="1" ht="25" x14ac:dyDescent="0.3">
      <c r="A46" s="204" t="s">
        <v>446</v>
      </c>
      <c r="B46" s="22"/>
      <c r="C46" s="36">
        <v>40468.195833333331</v>
      </c>
      <c r="D46" s="23" t="s">
        <v>668</v>
      </c>
      <c r="E46" s="23" t="s">
        <v>224</v>
      </c>
      <c r="F46" s="23" t="s">
        <v>672</v>
      </c>
      <c r="G46" s="13">
        <v>82</v>
      </c>
      <c r="H46" s="13">
        <v>3</v>
      </c>
      <c r="I46" s="216">
        <v>0.4</v>
      </c>
      <c r="J46" s="13"/>
      <c r="K46" s="13"/>
      <c r="L46" s="13"/>
      <c r="M46" s="13"/>
      <c r="N46" s="13"/>
      <c r="O46" s="13"/>
      <c r="P46" s="13"/>
      <c r="Q46" s="13"/>
      <c r="R46" s="13"/>
      <c r="S46" s="13"/>
      <c r="T46" s="13"/>
      <c r="U46" s="13"/>
      <c r="V46" s="143"/>
      <c r="W46" s="5">
        <v>0</v>
      </c>
      <c r="X46" s="5">
        <v>1</v>
      </c>
      <c r="Y46" s="23" t="s">
        <v>671</v>
      </c>
      <c r="Z46" s="19">
        <v>40513</v>
      </c>
      <c r="AA46" s="5"/>
      <c r="AB46" s="5"/>
    </row>
    <row r="47" spans="1:28" s="61" customFormat="1" ht="13" x14ac:dyDescent="0.3">
      <c r="A47" s="221"/>
      <c r="B47" s="64"/>
      <c r="C47" s="54" t="s">
        <v>193</v>
      </c>
      <c r="D47" s="55" t="s">
        <v>642</v>
      </c>
      <c r="E47" s="55" t="s">
        <v>196</v>
      </c>
      <c r="F47" s="55"/>
      <c r="G47" s="60">
        <v>71</v>
      </c>
      <c r="H47" s="60">
        <v>71</v>
      </c>
      <c r="I47" s="215">
        <v>3200</v>
      </c>
      <c r="J47" s="60"/>
      <c r="K47" s="60"/>
      <c r="L47" s="60"/>
      <c r="M47" s="60"/>
      <c r="N47" s="60"/>
      <c r="O47" s="60"/>
      <c r="P47" s="60"/>
      <c r="Q47" s="60"/>
      <c r="R47" s="60"/>
      <c r="S47" s="60"/>
      <c r="T47" s="60"/>
      <c r="U47" s="60"/>
      <c r="V47" s="206"/>
      <c r="W47" s="59">
        <f>SUM(W48:W49)</f>
        <v>0</v>
      </c>
      <c r="X47" s="59">
        <f>SUM(X48:X49)</f>
        <v>2</v>
      </c>
      <c r="Y47" s="55" t="s">
        <v>638</v>
      </c>
      <c r="Z47" s="58">
        <v>40472</v>
      </c>
      <c r="AA47" s="59"/>
      <c r="AB47" s="59"/>
    </row>
    <row r="48" spans="1:28" s="12" customFormat="1" ht="25" x14ac:dyDescent="0.3">
      <c r="A48" s="204"/>
      <c r="B48" s="22"/>
      <c r="C48" s="36">
        <v>39843.947222222225</v>
      </c>
      <c r="D48" s="23" t="s">
        <v>642</v>
      </c>
      <c r="E48" s="23" t="s">
        <v>196</v>
      </c>
      <c r="F48" s="23"/>
      <c r="G48" s="13"/>
      <c r="H48" s="13"/>
      <c r="I48" s="216"/>
      <c r="J48" s="13"/>
      <c r="K48" s="13"/>
      <c r="L48" s="13"/>
      <c r="M48" s="13"/>
      <c r="N48" s="13"/>
      <c r="O48" s="13"/>
      <c r="P48" s="13"/>
      <c r="Q48" s="13"/>
      <c r="R48" s="13"/>
      <c r="S48" s="13"/>
      <c r="T48" s="13"/>
      <c r="U48" s="13"/>
      <c r="V48" s="143"/>
      <c r="W48" s="17">
        <v>0</v>
      </c>
      <c r="X48" s="17">
        <v>1</v>
      </c>
      <c r="Y48" s="14" t="s">
        <v>641</v>
      </c>
      <c r="Z48" s="19">
        <v>40415</v>
      </c>
      <c r="AA48" s="5"/>
      <c r="AB48" s="5"/>
    </row>
    <row r="49" spans="1:28" s="12" customFormat="1" ht="25" x14ac:dyDescent="0.3">
      <c r="A49" s="204" t="s">
        <v>595</v>
      </c>
      <c r="B49" s="22"/>
      <c r="C49" s="36">
        <v>40466.123611111114</v>
      </c>
      <c r="D49" s="23" t="s">
        <v>642</v>
      </c>
      <c r="E49" s="23" t="s">
        <v>196</v>
      </c>
      <c r="F49" s="23"/>
      <c r="G49" s="13"/>
      <c r="H49" s="13"/>
      <c r="I49" s="216"/>
      <c r="J49" s="13"/>
      <c r="K49" s="13"/>
      <c r="L49" s="13"/>
      <c r="M49" s="13"/>
      <c r="N49" s="13"/>
      <c r="O49" s="13"/>
      <c r="P49" s="13"/>
      <c r="Q49" s="13"/>
      <c r="R49" s="13"/>
      <c r="S49" s="13"/>
      <c r="T49" s="13"/>
      <c r="U49" s="13"/>
      <c r="V49" s="143">
        <v>0.6</v>
      </c>
      <c r="W49" s="17">
        <v>0</v>
      </c>
      <c r="X49" s="17">
        <v>1</v>
      </c>
      <c r="Y49" s="14" t="s">
        <v>640</v>
      </c>
      <c r="Z49" s="19">
        <v>40472</v>
      </c>
      <c r="AA49" s="5"/>
      <c r="AB49" s="5"/>
    </row>
    <row r="50" spans="1:28" s="12" customFormat="1" ht="13" x14ac:dyDescent="0.3">
      <c r="A50" s="221"/>
      <c r="B50" s="55"/>
      <c r="C50" s="54" t="s">
        <v>193</v>
      </c>
      <c r="D50" s="55" t="s">
        <v>611</v>
      </c>
      <c r="E50" s="55" t="s">
        <v>196</v>
      </c>
      <c r="F50" s="55"/>
      <c r="G50" s="60"/>
      <c r="H50" s="60"/>
      <c r="I50" s="215"/>
      <c r="J50" s="60"/>
      <c r="K50" s="60"/>
      <c r="L50" s="60"/>
      <c r="M50" s="60"/>
      <c r="N50" s="60"/>
      <c r="O50" s="60"/>
      <c r="P50" s="60"/>
      <c r="Q50" s="60"/>
      <c r="R50" s="60"/>
      <c r="S50" s="60"/>
      <c r="T50" s="60"/>
      <c r="U50" s="60"/>
      <c r="V50" s="206"/>
      <c r="W50" s="59">
        <f>SUM(W51)</f>
        <v>0</v>
      </c>
      <c r="X50" s="59">
        <f>SUM(X51)</f>
        <v>1</v>
      </c>
      <c r="Y50" s="55"/>
      <c r="Z50" s="58">
        <v>39848</v>
      </c>
      <c r="AA50" s="59"/>
      <c r="AB50" s="59"/>
    </row>
    <row r="51" spans="1:28" s="12" customFormat="1" ht="37.5" x14ac:dyDescent="0.3">
      <c r="A51" s="204" t="s">
        <v>645</v>
      </c>
      <c r="B51" s="23"/>
      <c r="C51" s="36">
        <v>40441.224305555559</v>
      </c>
      <c r="D51" s="23" t="s">
        <v>611</v>
      </c>
      <c r="E51" s="23" t="s">
        <v>196</v>
      </c>
      <c r="F51" s="23"/>
      <c r="G51" s="18"/>
      <c r="H51" s="18"/>
      <c r="I51" s="217"/>
      <c r="J51" s="18"/>
      <c r="K51" s="18"/>
      <c r="L51" s="18"/>
      <c r="M51" s="18"/>
      <c r="N51" s="18"/>
      <c r="O51" s="18"/>
      <c r="P51" s="18"/>
      <c r="Q51" s="18"/>
      <c r="R51" s="18"/>
      <c r="S51" s="18"/>
      <c r="T51" s="18"/>
      <c r="U51" s="18"/>
      <c r="V51" s="207"/>
      <c r="W51" s="17">
        <v>0</v>
      </c>
      <c r="X51" s="17">
        <v>1</v>
      </c>
      <c r="Y51" s="14" t="s">
        <v>612</v>
      </c>
      <c r="Z51" s="19">
        <v>40448</v>
      </c>
      <c r="AA51" s="17"/>
      <c r="AB51" s="17"/>
    </row>
    <row r="52" spans="1:28" s="12" customFormat="1" ht="62.5" x14ac:dyDescent="0.3">
      <c r="A52" s="221"/>
      <c r="B52" s="55"/>
      <c r="C52" s="54" t="s">
        <v>193</v>
      </c>
      <c r="D52" s="55" t="s">
        <v>421</v>
      </c>
      <c r="E52" s="55" t="s">
        <v>222</v>
      </c>
      <c r="F52" s="55"/>
      <c r="G52" s="60">
        <v>10</v>
      </c>
      <c r="H52" s="60">
        <v>10</v>
      </c>
      <c r="I52" s="215"/>
      <c r="J52" s="60"/>
      <c r="K52" s="60"/>
      <c r="L52" s="60"/>
      <c r="M52" s="60"/>
      <c r="N52" s="60"/>
      <c r="O52" s="60"/>
      <c r="P52" s="60"/>
      <c r="Q52" s="60"/>
      <c r="R52" s="60"/>
      <c r="S52" s="60"/>
      <c r="T52" s="60"/>
      <c r="U52" s="60"/>
      <c r="V52" s="206"/>
      <c r="W52" s="59"/>
      <c r="X52" s="59"/>
      <c r="Y52" s="55" t="s">
        <v>424</v>
      </c>
      <c r="Z52" s="58">
        <v>39848</v>
      </c>
      <c r="AA52" s="59"/>
      <c r="AB52" s="59"/>
    </row>
    <row r="53" spans="1:28" s="12" customFormat="1" ht="25" x14ac:dyDescent="0.3">
      <c r="A53" s="204"/>
      <c r="B53" s="22"/>
      <c r="C53" s="36">
        <v>39490</v>
      </c>
      <c r="D53" s="23" t="s">
        <v>274</v>
      </c>
      <c r="E53" s="23" t="s">
        <v>271</v>
      </c>
      <c r="F53" s="23"/>
      <c r="G53" s="13"/>
      <c r="H53" s="13"/>
      <c r="I53" s="216"/>
      <c r="J53" s="13"/>
      <c r="K53" s="13"/>
      <c r="L53" s="13"/>
      <c r="M53" s="13"/>
      <c r="N53" s="13"/>
      <c r="O53" s="13"/>
      <c r="P53" s="13"/>
      <c r="Q53" s="13"/>
      <c r="R53" s="13"/>
      <c r="S53" s="13"/>
      <c r="T53" s="13"/>
      <c r="U53" s="13"/>
      <c r="V53" s="143"/>
      <c r="W53" s="5"/>
      <c r="X53" s="5"/>
      <c r="Y53" s="41" t="s">
        <v>280</v>
      </c>
      <c r="Z53" s="19">
        <v>39498</v>
      </c>
      <c r="AA53" s="5"/>
      <c r="AB53" s="5"/>
    </row>
    <row r="54" spans="1:28" s="12" customFormat="1" ht="25" x14ac:dyDescent="0.3">
      <c r="A54" s="204" t="s">
        <v>446</v>
      </c>
      <c r="B54" s="23"/>
      <c r="C54" s="36">
        <v>39843.984027777777</v>
      </c>
      <c r="D54" s="23" t="s">
        <v>599</v>
      </c>
      <c r="E54" s="23" t="s">
        <v>196</v>
      </c>
      <c r="F54" s="23"/>
      <c r="G54" s="18"/>
      <c r="H54" s="18"/>
      <c r="I54" s="217"/>
      <c r="J54" s="18"/>
      <c r="K54" s="18"/>
      <c r="L54" s="18"/>
      <c r="M54" s="18"/>
      <c r="N54" s="18"/>
      <c r="O54" s="18"/>
      <c r="P54" s="18"/>
      <c r="Q54" s="18"/>
      <c r="R54" s="18"/>
      <c r="S54" s="18"/>
      <c r="T54" s="18"/>
      <c r="U54" s="18"/>
      <c r="V54" s="207"/>
      <c r="W54" s="17">
        <v>0</v>
      </c>
      <c r="X54" s="17">
        <v>1</v>
      </c>
      <c r="Y54" s="14" t="s">
        <v>598</v>
      </c>
      <c r="Z54" s="19">
        <v>40415</v>
      </c>
      <c r="AA54" s="17"/>
      <c r="AB54" s="17"/>
    </row>
    <row r="55" spans="1:28" s="12" customFormat="1" ht="50" x14ac:dyDescent="0.3">
      <c r="A55" s="204" t="s">
        <v>446</v>
      </c>
      <c r="B55" s="23"/>
      <c r="C55" s="36">
        <v>39843.973611111112</v>
      </c>
      <c r="D55" s="23" t="s">
        <v>600</v>
      </c>
      <c r="E55" s="23" t="s">
        <v>601</v>
      </c>
      <c r="F55" s="23"/>
      <c r="G55" s="18"/>
      <c r="H55" s="18"/>
      <c r="I55" s="217"/>
      <c r="J55" s="18"/>
      <c r="K55" s="18"/>
      <c r="L55" s="18"/>
      <c r="M55" s="18"/>
      <c r="N55" s="18"/>
      <c r="O55" s="18"/>
      <c r="P55" s="18"/>
      <c r="Q55" s="18"/>
      <c r="R55" s="18"/>
      <c r="S55" s="18"/>
      <c r="T55" s="18"/>
      <c r="U55" s="18"/>
      <c r="V55" s="207"/>
      <c r="W55" s="17">
        <v>0</v>
      </c>
      <c r="X55" s="17">
        <v>1</v>
      </c>
      <c r="Y55" s="14" t="s">
        <v>602</v>
      </c>
      <c r="Z55" s="19">
        <v>40415</v>
      </c>
      <c r="AA55" s="17"/>
      <c r="AB55" s="17"/>
    </row>
    <row r="56" spans="1:28" s="12" customFormat="1" ht="25" x14ac:dyDescent="0.3">
      <c r="A56" s="204"/>
      <c r="B56" s="23"/>
      <c r="C56" s="36">
        <v>39081</v>
      </c>
      <c r="D56" s="23" t="s">
        <v>237</v>
      </c>
      <c r="E56" s="23"/>
      <c r="F56" s="23"/>
      <c r="G56" s="17"/>
      <c r="H56" s="17"/>
      <c r="I56" s="217"/>
      <c r="J56" s="18"/>
      <c r="K56" s="18"/>
      <c r="L56" s="18"/>
      <c r="M56" s="18"/>
      <c r="N56" s="18"/>
      <c r="O56" s="18"/>
      <c r="P56" s="18"/>
      <c r="Q56" s="18"/>
      <c r="R56" s="18"/>
      <c r="S56" s="18"/>
      <c r="T56" s="18"/>
      <c r="U56" s="13"/>
      <c r="V56" s="207"/>
      <c r="W56" s="17"/>
      <c r="X56" s="17"/>
      <c r="Y56" s="14" t="s">
        <v>239</v>
      </c>
      <c r="Z56" s="19"/>
      <c r="AA56" s="17"/>
      <c r="AB56" s="17"/>
    </row>
    <row r="57" spans="1:28" s="12" customFormat="1" ht="25" x14ac:dyDescent="0.3">
      <c r="A57" s="204"/>
      <c r="B57" s="23"/>
      <c r="C57" s="36">
        <v>39081</v>
      </c>
      <c r="D57" s="23" t="s">
        <v>236</v>
      </c>
      <c r="E57" s="23"/>
      <c r="F57" s="23"/>
      <c r="G57" s="18"/>
      <c r="H57" s="18"/>
      <c r="I57" s="217"/>
      <c r="J57" s="18"/>
      <c r="K57" s="18"/>
      <c r="L57" s="18"/>
      <c r="M57" s="18"/>
      <c r="N57" s="18"/>
      <c r="O57" s="18"/>
      <c r="P57" s="18"/>
      <c r="Q57" s="18"/>
      <c r="R57" s="18"/>
      <c r="S57" s="18"/>
      <c r="T57" s="18"/>
      <c r="U57" s="18"/>
      <c r="V57" s="207"/>
      <c r="W57" s="17"/>
      <c r="X57" s="17"/>
      <c r="Y57" s="14" t="s">
        <v>238</v>
      </c>
      <c r="Z57" s="19"/>
      <c r="AA57" s="17"/>
      <c r="AB57" s="17"/>
    </row>
    <row r="58" spans="1:28" s="12" customFormat="1" ht="25" x14ac:dyDescent="0.3">
      <c r="A58" s="204"/>
      <c r="B58" s="63"/>
      <c r="C58" s="36">
        <v>38253</v>
      </c>
      <c r="D58" s="23" t="s">
        <v>227</v>
      </c>
      <c r="E58" s="33"/>
      <c r="F58" s="33"/>
      <c r="G58" s="18"/>
      <c r="H58" s="18"/>
      <c r="I58" s="217"/>
      <c r="J58" s="17"/>
      <c r="K58" s="17"/>
      <c r="L58" s="17"/>
      <c r="M58" s="17"/>
      <c r="N58" s="17"/>
      <c r="O58" s="17"/>
      <c r="P58" s="17"/>
      <c r="Q58" s="17"/>
      <c r="R58" s="17"/>
      <c r="S58" s="17"/>
      <c r="T58" s="17"/>
      <c r="U58" s="37"/>
      <c r="V58" s="209"/>
      <c r="W58" s="17">
        <v>0</v>
      </c>
      <c r="X58" s="17">
        <v>1</v>
      </c>
      <c r="Y58" s="14" t="s">
        <v>412</v>
      </c>
      <c r="Z58" s="25">
        <v>38644</v>
      </c>
    </row>
    <row r="59" spans="1:28" s="12" customFormat="1" ht="25" x14ac:dyDescent="0.3">
      <c r="A59" s="204"/>
      <c r="B59" s="63"/>
      <c r="C59" s="36">
        <v>38253</v>
      </c>
      <c r="D59" s="23" t="s">
        <v>226</v>
      </c>
      <c r="E59" s="33"/>
      <c r="F59" s="33"/>
      <c r="G59" s="18"/>
      <c r="H59" s="18"/>
      <c r="I59" s="217"/>
      <c r="J59" s="17"/>
      <c r="K59" s="17"/>
      <c r="L59" s="17"/>
      <c r="M59" s="17"/>
      <c r="N59" s="17"/>
      <c r="O59" s="17"/>
      <c r="P59" s="17"/>
      <c r="Q59" s="17"/>
      <c r="R59" s="17"/>
      <c r="S59" s="17"/>
      <c r="T59" s="17"/>
      <c r="U59" s="37"/>
      <c r="V59" s="209"/>
      <c r="W59" s="17">
        <v>0</v>
      </c>
      <c r="X59" s="17">
        <v>1</v>
      </c>
      <c r="Y59" s="14" t="s">
        <v>412</v>
      </c>
      <c r="Z59" s="25">
        <v>38644</v>
      </c>
    </row>
    <row r="60" spans="1:28" s="12" customFormat="1" ht="37.5" x14ac:dyDescent="0.3">
      <c r="A60" s="204"/>
      <c r="B60" s="63"/>
      <c r="C60" s="36">
        <v>38253</v>
      </c>
      <c r="D60" s="23" t="s">
        <v>228</v>
      </c>
      <c r="E60" s="33"/>
      <c r="F60" s="33"/>
      <c r="G60" s="18"/>
      <c r="H60" s="18"/>
      <c r="I60" s="217"/>
      <c r="J60" s="17"/>
      <c r="K60" s="17"/>
      <c r="L60" s="17"/>
      <c r="M60" s="17"/>
      <c r="N60" s="17"/>
      <c r="O60" s="17"/>
      <c r="P60" s="17"/>
      <c r="Q60" s="17"/>
      <c r="R60" s="17"/>
      <c r="S60" s="17"/>
      <c r="T60" s="17"/>
      <c r="U60" s="37"/>
      <c r="V60" s="209"/>
      <c r="W60" s="17">
        <v>0</v>
      </c>
      <c r="X60" s="17">
        <v>1</v>
      </c>
      <c r="Y60" s="14" t="s">
        <v>412</v>
      </c>
      <c r="Z60" s="25">
        <v>38644</v>
      </c>
    </row>
    <row r="61" spans="1:28" s="12" customFormat="1" ht="13" x14ac:dyDescent="0.3">
      <c r="A61" s="204"/>
      <c r="B61" s="2"/>
      <c r="C61" s="36">
        <v>38696</v>
      </c>
      <c r="D61" s="23" t="s">
        <v>202</v>
      </c>
      <c r="E61" s="23" t="s">
        <v>198</v>
      </c>
      <c r="F61" s="23"/>
      <c r="G61" s="18">
        <v>8</v>
      </c>
      <c r="H61" s="18">
        <v>8</v>
      </c>
      <c r="I61" s="217"/>
      <c r="J61" s="18"/>
      <c r="K61" s="18"/>
      <c r="L61" s="18"/>
      <c r="M61" s="18"/>
      <c r="N61" s="18"/>
      <c r="O61" s="18"/>
      <c r="P61" s="18"/>
      <c r="Q61" s="18"/>
      <c r="R61" s="18"/>
      <c r="S61" s="18"/>
      <c r="T61" s="18"/>
      <c r="U61" s="18"/>
      <c r="V61" s="140" t="s">
        <v>197</v>
      </c>
      <c r="W61" s="1">
        <v>0</v>
      </c>
      <c r="X61" s="1">
        <v>1</v>
      </c>
      <c r="Y61" s="29" t="s">
        <v>206</v>
      </c>
      <c r="Z61" s="25">
        <v>38707</v>
      </c>
      <c r="AA61" s="1"/>
      <c r="AB61" s="1"/>
    </row>
    <row r="62" spans="1:28" s="12" customFormat="1" ht="13" x14ac:dyDescent="0.3">
      <c r="A62" s="204"/>
      <c r="B62" s="23"/>
      <c r="C62" s="36">
        <v>38847</v>
      </c>
      <c r="D62" s="23" t="s">
        <v>221</v>
      </c>
      <c r="E62" s="23" t="s">
        <v>222</v>
      </c>
      <c r="F62" s="23"/>
      <c r="G62" s="18"/>
      <c r="H62" s="18"/>
      <c r="I62" s="217"/>
      <c r="J62" s="18"/>
      <c r="K62" s="18"/>
      <c r="L62" s="18"/>
      <c r="M62" s="18"/>
      <c r="N62" s="18"/>
      <c r="O62" s="18"/>
      <c r="P62" s="18"/>
      <c r="Q62" s="18"/>
      <c r="R62" s="18"/>
      <c r="S62" s="18"/>
      <c r="T62" s="18"/>
      <c r="U62" s="18"/>
      <c r="V62" s="140"/>
      <c r="W62" s="17">
        <v>0</v>
      </c>
      <c r="X62" s="17">
        <v>1</v>
      </c>
      <c r="Y62" s="14" t="s">
        <v>229</v>
      </c>
      <c r="Z62" s="19"/>
      <c r="AA62" s="17"/>
      <c r="AB62" s="17"/>
    </row>
    <row r="63" spans="1:28" s="12" customFormat="1" ht="13" x14ac:dyDescent="0.3">
      <c r="A63" s="204"/>
      <c r="B63" s="2"/>
      <c r="C63" s="36">
        <v>38696</v>
      </c>
      <c r="D63" s="23" t="s">
        <v>200</v>
      </c>
      <c r="E63" s="23" t="s">
        <v>201</v>
      </c>
      <c r="F63" s="23"/>
      <c r="G63" s="18">
        <v>26</v>
      </c>
      <c r="H63" s="18">
        <v>16</v>
      </c>
      <c r="I63" s="217"/>
      <c r="J63" s="18"/>
      <c r="K63" s="18"/>
      <c r="L63" s="18"/>
      <c r="M63" s="18"/>
      <c r="N63" s="18"/>
      <c r="O63" s="18"/>
      <c r="P63" s="18"/>
      <c r="Q63" s="18"/>
      <c r="R63" s="18"/>
      <c r="S63" s="18"/>
      <c r="T63" s="18"/>
      <c r="U63" s="18"/>
      <c r="V63" s="140" t="s">
        <v>197</v>
      </c>
      <c r="W63" s="1">
        <v>0</v>
      </c>
      <c r="X63" s="1">
        <v>1</v>
      </c>
      <c r="Y63" s="29" t="s">
        <v>207</v>
      </c>
      <c r="Z63" s="25">
        <v>38707</v>
      </c>
      <c r="AA63" s="1"/>
      <c r="AB63" s="1"/>
    </row>
    <row r="64" spans="1:28" s="61" customFormat="1" ht="13" x14ac:dyDescent="0.3">
      <c r="A64" s="221"/>
      <c r="B64" s="64"/>
      <c r="C64" s="54" t="s">
        <v>193</v>
      </c>
      <c r="D64" s="55" t="s">
        <v>624</v>
      </c>
      <c r="E64" s="55" t="s">
        <v>196</v>
      </c>
      <c r="F64" s="55" t="s">
        <v>657</v>
      </c>
      <c r="G64" s="56"/>
      <c r="H64" s="56"/>
      <c r="I64" s="218"/>
      <c r="J64" s="56"/>
      <c r="K64" s="56"/>
      <c r="L64" s="56"/>
      <c r="M64" s="56"/>
      <c r="N64" s="56"/>
      <c r="O64" s="56"/>
      <c r="P64" s="56"/>
      <c r="Q64" s="56"/>
      <c r="R64" s="56"/>
      <c r="S64" s="56"/>
      <c r="T64" s="56"/>
      <c r="U64" s="56"/>
      <c r="V64" s="213"/>
      <c r="W64" s="59">
        <v>0</v>
      </c>
      <c r="X64" s="59">
        <v>0</v>
      </c>
      <c r="Y64" s="55" t="s">
        <v>654</v>
      </c>
      <c r="Z64" s="66">
        <v>40506</v>
      </c>
      <c r="AA64" s="59"/>
      <c r="AB64" s="59"/>
    </row>
    <row r="65" spans="1:28" s="12" customFormat="1" ht="13" x14ac:dyDescent="0.3">
      <c r="A65" s="204"/>
      <c r="B65" s="2"/>
      <c r="C65" s="36">
        <v>39843.988194444442</v>
      </c>
      <c r="D65" s="23" t="s">
        <v>624</v>
      </c>
      <c r="E65" s="23" t="s">
        <v>196</v>
      </c>
      <c r="F65" s="23" t="s">
        <v>657</v>
      </c>
      <c r="G65" s="18"/>
      <c r="H65" s="18"/>
      <c r="I65" s="217"/>
      <c r="J65" s="18"/>
      <c r="K65" s="18"/>
      <c r="L65" s="18"/>
      <c r="M65" s="18"/>
      <c r="N65" s="18"/>
      <c r="O65" s="18"/>
      <c r="P65" s="18"/>
      <c r="Q65" s="18"/>
      <c r="R65" s="18"/>
      <c r="S65" s="18"/>
      <c r="T65" s="18"/>
      <c r="U65" s="18"/>
      <c r="V65" s="140"/>
      <c r="W65" s="1">
        <v>0</v>
      </c>
      <c r="X65" s="1">
        <v>1</v>
      </c>
      <c r="Y65" s="29" t="s">
        <v>625</v>
      </c>
      <c r="Z65" s="25">
        <v>40506</v>
      </c>
      <c r="AA65" s="1"/>
      <c r="AB65" s="1"/>
    </row>
    <row r="66" spans="1:28" s="61" customFormat="1" ht="137.5" x14ac:dyDescent="0.3">
      <c r="A66" s="221"/>
      <c r="B66" s="64"/>
      <c r="C66" s="54" t="s">
        <v>193</v>
      </c>
      <c r="D66" s="55" t="s">
        <v>679</v>
      </c>
      <c r="E66" s="55" t="s">
        <v>196</v>
      </c>
      <c r="F66" s="55" t="s">
        <v>657</v>
      </c>
      <c r="G66" s="56">
        <v>100</v>
      </c>
      <c r="H66" s="56">
        <v>100</v>
      </c>
      <c r="I66" s="218"/>
      <c r="J66" s="56"/>
      <c r="K66" s="56"/>
      <c r="L66" s="56"/>
      <c r="M66" s="56"/>
      <c r="N66" s="56"/>
      <c r="O66" s="56"/>
      <c r="P66" s="56"/>
      <c r="Q66" s="56"/>
      <c r="R66" s="56"/>
      <c r="S66" s="56"/>
      <c r="T66" s="56"/>
      <c r="U66" s="56"/>
      <c r="V66" s="213"/>
      <c r="W66" s="59">
        <f>SUM(W67)</f>
        <v>0</v>
      </c>
      <c r="X66" s="59">
        <f>SUM(X67)</f>
        <v>1</v>
      </c>
      <c r="Y66" s="55" t="s">
        <v>681</v>
      </c>
      <c r="Z66" s="66">
        <v>40519</v>
      </c>
      <c r="AA66" s="59"/>
      <c r="AB66" s="59"/>
    </row>
    <row r="67" spans="1:28" s="12" customFormat="1" ht="25" x14ac:dyDescent="0.3">
      <c r="A67" s="204" t="s">
        <v>446</v>
      </c>
      <c r="B67" s="2"/>
      <c r="C67" s="36">
        <v>40468.202777777777</v>
      </c>
      <c r="D67" s="23" t="s">
        <v>679</v>
      </c>
      <c r="E67" s="23" t="s">
        <v>196</v>
      </c>
      <c r="F67" s="23" t="s">
        <v>657</v>
      </c>
      <c r="G67" s="18">
        <v>100</v>
      </c>
      <c r="H67" s="18">
        <v>100</v>
      </c>
      <c r="I67" s="217"/>
      <c r="J67" s="18"/>
      <c r="K67" s="18"/>
      <c r="L67" s="18"/>
      <c r="M67" s="18"/>
      <c r="N67" s="18"/>
      <c r="O67" s="18"/>
      <c r="P67" s="18"/>
      <c r="Q67" s="18"/>
      <c r="R67" s="18"/>
      <c r="S67" s="18"/>
      <c r="T67" s="18"/>
      <c r="U67" s="18"/>
      <c r="V67" s="140"/>
      <c r="W67" s="1">
        <v>0</v>
      </c>
      <c r="X67" s="1">
        <v>1</v>
      </c>
      <c r="Y67" s="29" t="s">
        <v>680</v>
      </c>
      <c r="Z67" s="25">
        <v>40519</v>
      </c>
      <c r="AA67" s="1"/>
      <c r="AB67" s="1"/>
    </row>
    <row r="68" spans="1:28" s="61" customFormat="1" ht="13" x14ac:dyDescent="0.3">
      <c r="A68" s="221"/>
      <c r="B68" s="64"/>
      <c r="C68" s="54" t="s">
        <v>193</v>
      </c>
      <c r="D68" s="55" t="s">
        <v>270</v>
      </c>
      <c r="E68" s="55"/>
      <c r="F68" s="55"/>
      <c r="G68" s="56"/>
      <c r="H68" s="56"/>
      <c r="I68" s="218"/>
      <c r="J68" s="56"/>
      <c r="K68" s="56"/>
      <c r="L68" s="56"/>
      <c r="M68" s="56"/>
      <c r="N68" s="56"/>
      <c r="O68" s="56"/>
      <c r="P68" s="56"/>
      <c r="Q68" s="56"/>
      <c r="R68" s="56"/>
      <c r="S68" s="56"/>
      <c r="T68" s="56"/>
      <c r="U68" s="56"/>
      <c r="V68" s="213"/>
      <c r="W68" s="59"/>
      <c r="X68" s="59"/>
      <c r="Y68" s="55"/>
      <c r="Z68" s="66"/>
      <c r="AA68" s="59"/>
      <c r="AB68" s="59"/>
    </row>
    <row r="69" spans="1:28" s="12" customFormat="1" ht="25" x14ac:dyDescent="0.3">
      <c r="A69" s="204"/>
      <c r="B69" s="22"/>
      <c r="C69" s="36">
        <v>39412</v>
      </c>
      <c r="D69" s="23" t="s">
        <v>270</v>
      </c>
      <c r="E69" s="23" t="s">
        <v>290</v>
      </c>
      <c r="F69" s="23"/>
      <c r="G69" s="13"/>
      <c r="H69" s="13"/>
      <c r="I69" s="216"/>
      <c r="J69" s="13"/>
      <c r="K69" s="13"/>
      <c r="L69" s="13"/>
      <c r="M69" s="13"/>
      <c r="N69" s="13"/>
      <c r="O69" s="13"/>
      <c r="P69" s="13"/>
      <c r="Q69" s="13"/>
      <c r="R69" s="13"/>
      <c r="S69" s="13"/>
      <c r="T69" s="13"/>
      <c r="U69" s="13"/>
      <c r="V69" s="143"/>
      <c r="W69" s="5"/>
      <c r="X69" s="5"/>
      <c r="Y69" s="23" t="s">
        <v>291</v>
      </c>
      <c r="Z69" s="19">
        <v>39498</v>
      </c>
      <c r="AA69" s="5"/>
      <c r="AB69" s="5"/>
    </row>
    <row r="70" spans="1:28" s="12" customFormat="1" ht="13" x14ac:dyDescent="0.3">
      <c r="A70" s="204"/>
      <c r="B70" s="22"/>
      <c r="C70" s="36">
        <v>39439</v>
      </c>
      <c r="D70" s="23" t="s">
        <v>270</v>
      </c>
      <c r="E70" s="23" t="s">
        <v>213</v>
      </c>
      <c r="F70" s="23"/>
      <c r="G70" s="13"/>
      <c r="H70" s="13"/>
      <c r="I70" s="216"/>
      <c r="J70" s="13"/>
      <c r="K70" s="13"/>
      <c r="L70" s="13"/>
      <c r="M70" s="13"/>
      <c r="N70" s="13"/>
      <c r="O70" s="13"/>
      <c r="P70" s="13"/>
      <c r="Q70" s="13"/>
      <c r="R70" s="13"/>
      <c r="S70" s="13"/>
      <c r="T70" s="13"/>
      <c r="U70" s="13"/>
      <c r="V70" s="143"/>
      <c r="W70" s="5"/>
      <c r="X70" s="5"/>
      <c r="Y70" s="14" t="s">
        <v>293</v>
      </c>
      <c r="Z70" s="19">
        <v>39517</v>
      </c>
      <c r="AA70" s="5"/>
      <c r="AB70" s="5"/>
    </row>
    <row r="71" spans="1:28" s="12" customFormat="1" ht="25" x14ac:dyDescent="0.3">
      <c r="A71" s="204"/>
      <c r="B71" s="22"/>
      <c r="C71" s="36">
        <v>39460</v>
      </c>
      <c r="D71" s="23" t="s">
        <v>270</v>
      </c>
      <c r="E71" s="23" t="s">
        <v>288</v>
      </c>
      <c r="F71" s="23"/>
      <c r="G71" s="13"/>
      <c r="H71" s="13"/>
      <c r="I71" s="216"/>
      <c r="J71" s="13"/>
      <c r="K71" s="13"/>
      <c r="L71" s="13"/>
      <c r="M71" s="13"/>
      <c r="N71" s="13"/>
      <c r="O71" s="13"/>
      <c r="P71" s="13"/>
      <c r="Q71" s="13"/>
      <c r="R71" s="13"/>
      <c r="S71" s="13"/>
      <c r="T71" s="13"/>
      <c r="U71" s="13"/>
      <c r="V71" s="143"/>
      <c r="W71" s="5"/>
      <c r="X71" s="5"/>
      <c r="Y71" s="23" t="s">
        <v>289</v>
      </c>
      <c r="Z71" s="19">
        <v>39498</v>
      </c>
      <c r="AA71" s="5"/>
      <c r="AB71" s="5"/>
    </row>
    <row r="72" spans="1:28" s="12" customFormat="1" ht="50" x14ac:dyDescent="0.3">
      <c r="A72" s="204"/>
      <c r="B72" s="22"/>
      <c r="C72" s="36">
        <v>40616</v>
      </c>
      <c r="D72" s="23" t="s">
        <v>270</v>
      </c>
      <c r="E72" s="23" t="s">
        <v>719</v>
      </c>
      <c r="F72" s="23" t="s">
        <v>720</v>
      </c>
      <c r="G72" s="13"/>
      <c r="H72" s="13"/>
      <c r="I72" s="216"/>
      <c r="J72" s="13"/>
      <c r="K72" s="13"/>
      <c r="L72" s="13"/>
      <c r="M72" s="13"/>
      <c r="N72" s="13"/>
      <c r="O72" s="13"/>
      <c r="P72" s="13"/>
      <c r="Q72" s="13"/>
      <c r="R72" s="13"/>
      <c r="S72" s="13"/>
      <c r="T72" s="13"/>
      <c r="U72" s="13"/>
      <c r="V72" s="143"/>
      <c r="W72" s="5"/>
      <c r="X72" s="5"/>
      <c r="Y72" s="23" t="s">
        <v>722</v>
      </c>
      <c r="Z72" s="19">
        <v>40668</v>
      </c>
      <c r="AA72" s="5"/>
      <c r="AB72" s="5"/>
    </row>
    <row r="73" spans="1:28" s="12" customFormat="1" ht="67.5" customHeight="1" x14ac:dyDescent="0.3">
      <c r="A73" s="204"/>
      <c r="B73" s="22"/>
      <c r="C73" s="36">
        <v>40645</v>
      </c>
      <c r="D73" s="23" t="s">
        <v>270</v>
      </c>
      <c r="E73" s="23" t="s">
        <v>719</v>
      </c>
      <c r="F73" s="23" t="s">
        <v>720</v>
      </c>
      <c r="G73" s="13"/>
      <c r="H73" s="13"/>
      <c r="I73" s="216"/>
      <c r="J73" s="13"/>
      <c r="K73" s="13"/>
      <c r="L73" s="13"/>
      <c r="M73" s="13"/>
      <c r="N73" s="13"/>
      <c r="O73" s="13"/>
      <c r="P73" s="13"/>
      <c r="Q73" s="13"/>
      <c r="R73" s="13"/>
      <c r="S73" s="13"/>
      <c r="T73" s="13"/>
      <c r="U73" s="13"/>
      <c r="V73" s="143"/>
      <c r="W73" s="5"/>
      <c r="X73" s="5"/>
      <c r="Y73" s="23" t="s">
        <v>721</v>
      </c>
      <c r="Z73" s="19">
        <v>40668</v>
      </c>
      <c r="AA73" s="5"/>
      <c r="AB73" s="5"/>
    </row>
    <row r="74" spans="1:28" s="61" customFormat="1" ht="13" x14ac:dyDescent="0.3">
      <c r="A74" s="221"/>
      <c r="B74" s="64"/>
      <c r="C74" s="54" t="s">
        <v>193</v>
      </c>
      <c r="D74" s="55" t="s">
        <v>203</v>
      </c>
      <c r="E74" s="55"/>
      <c r="F74" s="55" t="s">
        <v>658</v>
      </c>
      <c r="G74" s="60">
        <v>104</v>
      </c>
      <c r="H74" s="60">
        <v>104</v>
      </c>
      <c r="I74" s="215"/>
      <c r="J74" s="60"/>
      <c r="K74" s="60"/>
      <c r="L74" s="60">
        <v>56.1</v>
      </c>
      <c r="M74" s="60">
        <v>9.4</v>
      </c>
      <c r="N74" s="60">
        <v>0</v>
      </c>
      <c r="O74" s="60">
        <v>0</v>
      </c>
      <c r="P74" s="56">
        <f t="shared" ref="P74:P80" si="0">DEGREES(ACOS(SIN(RADIANS(N74))*SIN(RADIANS(L$74))+COS(RADIANS(N74))*COS(RADIANS(L$74))*COS(RADIANS(M$74-O74))))</f>
        <v>56.615436464622825</v>
      </c>
      <c r="Q74" s="131">
        <f t="shared" ref="Q74:Q80" si="1">(COS(RADIANS(P74))-COS(RADIANS(P$74+10)))/(COS(RADIANS(P$74-10))-COS(RADIANS(P$74+10)))</f>
        <v>0.52882716573776967</v>
      </c>
      <c r="R74" s="60"/>
      <c r="S74" s="60"/>
      <c r="T74" s="60"/>
      <c r="U74" s="60"/>
      <c r="V74" s="206"/>
      <c r="W74" s="59"/>
      <c r="X74" s="59"/>
      <c r="Y74" s="55" t="s">
        <v>551</v>
      </c>
      <c r="Z74" s="58">
        <v>40323</v>
      </c>
      <c r="AA74" s="59"/>
      <c r="AB74" s="59"/>
    </row>
    <row r="75" spans="1:28" s="12" customFormat="1" ht="50" x14ac:dyDescent="0.3">
      <c r="A75" s="204"/>
      <c r="B75" s="22"/>
      <c r="C75" s="36">
        <v>38226.135416666664</v>
      </c>
      <c r="D75" s="23" t="s">
        <v>203</v>
      </c>
      <c r="E75" s="23" t="s">
        <v>196</v>
      </c>
      <c r="F75" s="23" t="s">
        <v>658</v>
      </c>
      <c r="G75" s="13"/>
      <c r="H75" s="13"/>
      <c r="I75" s="216"/>
      <c r="J75" s="13"/>
      <c r="K75" s="13"/>
      <c r="L75" s="13"/>
      <c r="M75" s="13"/>
      <c r="N75" s="18">
        <f>6+29/60</f>
        <v>6.4833333333333334</v>
      </c>
      <c r="O75" s="18">
        <v>-0.48333333333333334</v>
      </c>
      <c r="P75" s="18">
        <f t="shared" si="0"/>
        <v>50.232488406275166</v>
      </c>
      <c r="Q75" s="130">
        <f t="shared" si="1"/>
        <v>0.83717509119860523</v>
      </c>
      <c r="R75" s="18"/>
      <c r="S75" s="18"/>
      <c r="T75" s="18">
        <v>32.159999999999997</v>
      </c>
      <c r="U75" s="13"/>
      <c r="V75" s="143"/>
      <c r="W75" s="5">
        <v>0</v>
      </c>
      <c r="X75" s="5">
        <v>3</v>
      </c>
      <c r="Y75" s="23" t="s">
        <v>552</v>
      </c>
      <c r="Z75" s="19">
        <v>40323</v>
      </c>
      <c r="AA75" s="5"/>
      <c r="AB75" s="5"/>
    </row>
    <row r="76" spans="1:28" s="12" customFormat="1" ht="13" x14ac:dyDescent="0.3">
      <c r="A76" s="204"/>
      <c r="B76" s="22"/>
      <c r="C76" s="36">
        <v>38254.125</v>
      </c>
      <c r="D76" s="23" t="s">
        <v>203</v>
      </c>
      <c r="E76" s="23" t="s">
        <v>196</v>
      </c>
      <c r="F76" s="23" t="s">
        <v>658</v>
      </c>
      <c r="G76" s="13"/>
      <c r="H76" s="13"/>
      <c r="I76" s="216"/>
      <c r="J76" s="13"/>
      <c r="K76" s="13"/>
      <c r="L76" s="13"/>
      <c r="M76" s="13"/>
      <c r="N76" s="18">
        <f>7+7/60</f>
        <v>7.1166666666666663</v>
      </c>
      <c r="O76" s="18">
        <f>2+11/60</f>
        <v>2.1833333333333331</v>
      </c>
      <c r="P76" s="18">
        <f t="shared" si="0"/>
        <v>49.31542843211593</v>
      </c>
      <c r="Q76" s="130">
        <f t="shared" si="1"/>
        <v>0.87931526146620198</v>
      </c>
      <c r="R76" s="18"/>
      <c r="S76" s="18"/>
      <c r="T76" s="18">
        <v>31.77</v>
      </c>
      <c r="U76" s="13"/>
      <c r="V76" s="143"/>
      <c r="W76" s="5"/>
      <c r="X76" s="5"/>
      <c r="Y76" s="23" t="s">
        <v>553</v>
      </c>
      <c r="Z76" s="19">
        <v>40323</v>
      </c>
      <c r="AA76" s="5"/>
      <c r="AB76" s="5"/>
    </row>
    <row r="77" spans="1:28" s="12" customFormat="1" ht="13" x14ac:dyDescent="0.3">
      <c r="A77" s="204"/>
      <c r="B77" s="23"/>
      <c r="C77" s="36">
        <v>38697.131944444445</v>
      </c>
      <c r="D77" s="23" t="s">
        <v>203</v>
      </c>
      <c r="E77" s="23" t="s">
        <v>196</v>
      </c>
      <c r="F77" s="23" t="s">
        <v>658</v>
      </c>
      <c r="G77" s="18"/>
      <c r="H77" s="18"/>
      <c r="I77" s="217"/>
      <c r="J77" s="18"/>
      <c r="K77" s="18"/>
      <c r="L77" s="18"/>
      <c r="M77" s="18"/>
      <c r="N77" s="18">
        <f>-1-0.0333333333333333</f>
        <v>-1.0333333333333332</v>
      </c>
      <c r="O77" s="18">
        <f>4+35/60</f>
        <v>4.583333333333333</v>
      </c>
      <c r="P77" s="18">
        <f t="shared" si="0"/>
        <v>57.267571392949968</v>
      </c>
      <c r="Q77" s="130">
        <f t="shared" si="1"/>
        <v>0.49593208714619652</v>
      </c>
      <c r="R77" s="18"/>
      <c r="S77" s="18"/>
      <c r="T77" s="18">
        <v>31.27</v>
      </c>
      <c r="U77" s="18"/>
      <c r="V77" s="140" t="s">
        <v>197</v>
      </c>
      <c r="W77" s="17">
        <v>0</v>
      </c>
      <c r="X77" s="17">
        <v>1</v>
      </c>
      <c r="Y77" s="23" t="s">
        <v>554</v>
      </c>
      <c r="Z77" s="25">
        <v>40323</v>
      </c>
      <c r="AA77" s="17"/>
      <c r="AB77" s="17"/>
    </row>
    <row r="78" spans="1:28" s="12" customFormat="1" ht="25" x14ac:dyDescent="0.3">
      <c r="A78" s="204"/>
      <c r="B78" s="22"/>
      <c r="C78" s="36">
        <v>39494.125</v>
      </c>
      <c r="D78" s="23" t="s">
        <v>203</v>
      </c>
      <c r="E78" s="23" t="s">
        <v>284</v>
      </c>
      <c r="F78" s="23" t="s">
        <v>658</v>
      </c>
      <c r="G78" s="13"/>
      <c r="H78" s="13"/>
      <c r="I78" s="216"/>
      <c r="J78" s="13"/>
      <c r="K78" s="13"/>
      <c r="L78" s="13"/>
      <c r="M78" s="13"/>
      <c r="N78" s="13">
        <f>1+51/60</f>
        <v>1.85</v>
      </c>
      <c r="O78" s="13">
        <f>-5-45/60</f>
        <v>-5.75</v>
      </c>
      <c r="P78" s="18">
        <f t="shared" si="0"/>
        <v>55.606367684742011</v>
      </c>
      <c r="Q78" s="130">
        <f t="shared" si="1"/>
        <v>0.57924078396659051</v>
      </c>
      <c r="R78" s="13"/>
      <c r="S78" s="13"/>
      <c r="T78" s="13">
        <v>32.29</v>
      </c>
      <c r="U78" s="13"/>
      <c r="V78" s="143"/>
      <c r="W78" s="5"/>
      <c r="X78" s="5"/>
      <c r="Y78" s="23" t="s">
        <v>555</v>
      </c>
      <c r="Z78" s="19">
        <v>40323</v>
      </c>
      <c r="AA78" s="5"/>
      <c r="AB78" s="5"/>
    </row>
    <row r="79" spans="1:28" s="39" customFormat="1" ht="37.5" x14ac:dyDescent="0.3">
      <c r="A79" s="204"/>
      <c r="B79" s="22"/>
      <c r="C79" s="36">
        <v>39553.116666666669</v>
      </c>
      <c r="D79" s="23" t="s">
        <v>203</v>
      </c>
      <c r="E79" s="23" t="s">
        <v>284</v>
      </c>
      <c r="F79" s="23" t="s">
        <v>658</v>
      </c>
      <c r="G79" s="13"/>
      <c r="H79" s="13"/>
      <c r="I79" s="216"/>
      <c r="J79" s="13"/>
      <c r="K79" s="13"/>
      <c r="L79" s="13"/>
      <c r="M79" s="13"/>
      <c r="N79" s="13">
        <f>56/60</f>
        <v>0.93333333333333335</v>
      </c>
      <c r="O79" s="13">
        <f>6+34/60</f>
        <v>6.5666666666666664</v>
      </c>
      <c r="P79" s="18">
        <f t="shared" si="0"/>
        <v>55.214239672591603</v>
      </c>
      <c r="Q79" s="130">
        <f t="shared" si="1"/>
        <v>0.59866955594694482</v>
      </c>
      <c r="R79" s="13"/>
      <c r="S79" s="13"/>
      <c r="T79" s="13">
        <f>30.61</f>
        <v>30.61</v>
      </c>
      <c r="U79" s="13"/>
      <c r="V79" s="143"/>
      <c r="W79" s="5"/>
      <c r="X79" s="5"/>
      <c r="Y79" s="23" t="s">
        <v>510</v>
      </c>
      <c r="Z79" s="19">
        <v>40304</v>
      </c>
      <c r="AA79" s="5"/>
      <c r="AB79" s="5"/>
    </row>
    <row r="80" spans="1:28" s="12" customFormat="1" ht="37.5" x14ac:dyDescent="0.3">
      <c r="A80" s="204"/>
      <c r="B80" s="23"/>
      <c r="C80" s="36">
        <v>40293.179861111108</v>
      </c>
      <c r="D80" s="23" t="s">
        <v>203</v>
      </c>
      <c r="E80" s="23" t="s">
        <v>196</v>
      </c>
      <c r="F80" s="23" t="s">
        <v>658</v>
      </c>
      <c r="G80" s="18"/>
      <c r="H80" s="18"/>
      <c r="I80" s="217"/>
      <c r="J80" s="18"/>
      <c r="K80" s="18"/>
      <c r="L80" s="18"/>
      <c r="M80" s="18"/>
      <c r="N80" s="18">
        <f>6+41/60</f>
        <v>6.6833333333333336</v>
      </c>
      <c r="O80" s="18">
        <f>1+33/60</f>
        <v>1.55</v>
      </c>
      <c r="P80" s="18">
        <f t="shared" si="0"/>
        <v>49.80716028554707</v>
      </c>
      <c r="Q80" s="130">
        <f t="shared" si="1"/>
        <v>0.85679042863039279</v>
      </c>
      <c r="R80" s="18"/>
      <c r="S80" s="18"/>
      <c r="T80" s="18">
        <v>32.15</v>
      </c>
      <c r="U80" s="18"/>
      <c r="V80" s="140" t="s">
        <v>509</v>
      </c>
      <c r="W80" s="17">
        <v>0</v>
      </c>
      <c r="X80" s="17">
        <v>1</v>
      </c>
      <c r="Y80" s="14" t="s">
        <v>550</v>
      </c>
      <c r="Z80" s="19">
        <v>40295</v>
      </c>
      <c r="AA80" s="17"/>
      <c r="AB80" s="17"/>
    </row>
    <row r="81" spans="1:28" s="12" customFormat="1" ht="37.5" x14ac:dyDescent="0.3">
      <c r="A81" s="204" t="s">
        <v>446</v>
      </c>
      <c r="B81" s="23"/>
      <c r="C81" s="36">
        <v>40468.172222222223</v>
      </c>
      <c r="D81" s="23" t="s">
        <v>203</v>
      </c>
      <c r="E81" s="23" t="s">
        <v>196</v>
      </c>
      <c r="F81" s="23" t="s">
        <v>658</v>
      </c>
      <c r="G81" s="18"/>
      <c r="H81" s="18"/>
      <c r="I81" s="217"/>
      <c r="J81" s="18"/>
      <c r="K81" s="18"/>
      <c r="L81" s="18"/>
      <c r="M81" s="18"/>
      <c r="N81" s="18">
        <f>6+41/60</f>
        <v>6.6833333333333336</v>
      </c>
      <c r="O81" s="18">
        <f>1+33/60</f>
        <v>1.55</v>
      </c>
      <c r="P81" s="18">
        <f>DEGREES(ACOS(SIN(RADIANS(N81))*SIN(RADIANS(L$74))+COS(RADIANS(N81))*COS(RADIANS(L$74))*COS(RADIANS(M$74-O81))))</f>
        <v>49.80716028554707</v>
      </c>
      <c r="Q81" s="130">
        <f>(COS(RADIANS(P81))-COS(RADIANS(P$74+10)))/(COS(RADIANS(P$74-10))-COS(RADIANS(P$74+10)))</f>
        <v>0.85679042863039279</v>
      </c>
      <c r="R81" s="18"/>
      <c r="S81" s="18"/>
      <c r="T81" s="18">
        <v>32.15</v>
      </c>
      <c r="U81" s="18"/>
      <c r="V81" s="140" t="s">
        <v>509</v>
      </c>
      <c r="W81" s="17">
        <v>0</v>
      </c>
      <c r="X81" s="17">
        <v>1</v>
      </c>
      <c r="Y81" s="14" t="s">
        <v>653</v>
      </c>
      <c r="Z81" s="19">
        <v>40506</v>
      </c>
      <c r="AA81" s="17"/>
      <c r="AB81" s="17"/>
    </row>
    <row r="82" spans="1:28" s="12" customFormat="1" ht="62.5" x14ac:dyDescent="0.3">
      <c r="A82" s="204" t="s">
        <v>446</v>
      </c>
      <c r="B82" s="23"/>
      <c r="C82" s="36">
        <v>43893.10229166667</v>
      </c>
      <c r="D82" s="23" t="s">
        <v>203</v>
      </c>
      <c r="E82" s="23" t="s">
        <v>196</v>
      </c>
      <c r="F82" s="23" t="s">
        <v>658</v>
      </c>
      <c r="G82" s="18"/>
      <c r="H82" s="18"/>
      <c r="I82" s="217"/>
      <c r="J82" s="18"/>
      <c r="K82" s="18"/>
      <c r="L82" s="18"/>
      <c r="M82" s="18"/>
      <c r="N82" s="18"/>
      <c r="O82" s="18"/>
      <c r="P82" s="18"/>
      <c r="Q82" s="130"/>
      <c r="R82" s="18"/>
      <c r="S82" s="18"/>
      <c r="T82" s="18"/>
      <c r="U82" s="18"/>
      <c r="V82" s="140" t="s">
        <v>509</v>
      </c>
      <c r="W82" s="17">
        <v>0</v>
      </c>
      <c r="X82" s="17">
        <v>1</v>
      </c>
      <c r="Y82" s="14" t="s">
        <v>834</v>
      </c>
      <c r="Z82" s="19">
        <v>43923</v>
      </c>
      <c r="AA82" s="17"/>
      <c r="AB82" s="17"/>
    </row>
    <row r="83" spans="1:28" s="12" customFormat="1" ht="112.5" x14ac:dyDescent="0.3">
      <c r="A83" s="221"/>
      <c r="B83" s="64"/>
      <c r="C83" s="54" t="s">
        <v>193</v>
      </c>
      <c r="D83" s="55" t="s">
        <v>285</v>
      </c>
      <c r="E83" s="55" t="s">
        <v>196</v>
      </c>
      <c r="F83" s="55" t="s">
        <v>657</v>
      </c>
      <c r="G83" s="60">
        <v>99</v>
      </c>
      <c r="H83" s="60">
        <v>99</v>
      </c>
      <c r="I83" s="215">
        <v>0</v>
      </c>
      <c r="J83" s="60"/>
      <c r="K83" s="60"/>
      <c r="L83" s="60"/>
      <c r="M83" s="60"/>
      <c r="N83" s="60"/>
      <c r="O83" s="60"/>
      <c r="P83" s="60"/>
      <c r="Q83" s="60"/>
      <c r="R83" s="60"/>
      <c r="S83" s="60"/>
      <c r="T83" s="60"/>
      <c r="U83" s="60"/>
      <c r="V83" s="206"/>
      <c r="W83" s="59">
        <f>SUM(W84:W86)</f>
        <v>0</v>
      </c>
      <c r="X83" s="59">
        <f>SUM(X84:X86)</f>
        <v>4</v>
      </c>
      <c r="Y83" s="55" t="s">
        <v>423</v>
      </c>
      <c r="Z83" s="58">
        <v>39848</v>
      </c>
      <c r="AA83" s="59"/>
      <c r="AB83" s="59"/>
    </row>
    <row r="84" spans="1:28" s="12" customFormat="1" ht="13" x14ac:dyDescent="0.3">
      <c r="A84" s="204"/>
      <c r="B84" s="22"/>
      <c r="C84" s="266">
        <v>38810</v>
      </c>
      <c r="D84" s="23" t="s">
        <v>285</v>
      </c>
      <c r="E84" s="23" t="s">
        <v>196</v>
      </c>
      <c r="F84" s="23" t="s">
        <v>657</v>
      </c>
      <c r="G84" s="13"/>
      <c r="H84" s="13"/>
      <c r="I84" s="216"/>
      <c r="J84" s="13"/>
      <c r="K84" s="13"/>
      <c r="L84" s="13"/>
      <c r="M84" s="13"/>
      <c r="N84" s="13"/>
      <c r="O84" s="13"/>
      <c r="P84" s="13"/>
      <c r="Q84" s="13"/>
      <c r="R84" s="13"/>
      <c r="S84" s="13"/>
      <c r="T84" s="13"/>
      <c r="U84" s="13"/>
      <c r="V84" s="143"/>
      <c r="W84" s="5">
        <v>0</v>
      </c>
      <c r="X84" s="5">
        <v>1</v>
      </c>
      <c r="Y84" s="23" t="s">
        <v>659</v>
      </c>
      <c r="Z84" s="19">
        <v>40506</v>
      </c>
      <c r="AA84" s="5"/>
      <c r="AB84" s="5"/>
    </row>
    <row r="85" spans="1:28" s="12" customFormat="1" ht="37.5" x14ac:dyDescent="0.3">
      <c r="A85" s="204"/>
      <c r="B85" s="22"/>
      <c r="C85" s="266">
        <v>39460.083333333336</v>
      </c>
      <c r="D85" s="23" t="s">
        <v>285</v>
      </c>
      <c r="E85" s="23" t="s">
        <v>196</v>
      </c>
      <c r="F85" s="23" t="s">
        <v>657</v>
      </c>
      <c r="G85" s="13"/>
      <c r="H85" s="13"/>
      <c r="I85" s="216"/>
      <c r="J85" s="13"/>
      <c r="K85" s="13"/>
      <c r="L85" s="13"/>
      <c r="M85" s="13"/>
      <c r="N85" s="13"/>
      <c r="O85" s="13"/>
      <c r="P85" s="13"/>
      <c r="Q85" s="13"/>
      <c r="R85" s="13"/>
      <c r="S85" s="13"/>
      <c r="T85" s="13"/>
      <c r="U85" s="13"/>
      <c r="V85" s="143"/>
      <c r="W85" s="5">
        <v>0</v>
      </c>
      <c r="X85" s="5">
        <v>1</v>
      </c>
      <c r="Y85" s="41" t="s">
        <v>557</v>
      </c>
      <c r="Z85" s="19">
        <v>40323</v>
      </c>
      <c r="AA85" s="5"/>
      <c r="AB85" s="5"/>
    </row>
    <row r="86" spans="1:28" s="12" customFormat="1" ht="50" x14ac:dyDescent="0.3">
      <c r="A86" s="204" t="s">
        <v>595</v>
      </c>
      <c r="B86" s="22"/>
      <c r="C86" s="266">
        <v>40466.134027777778</v>
      </c>
      <c r="D86" s="23" t="s">
        <v>285</v>
      </c>
      <c r="E86" s="23" t="s">
        <v>196</v>
      </c>
      <c r="F86" s="23" t="s">
        <v>657</v>
      </c>
      <c r="G86" s="13"/>
      <c r="H86" s="13"/>
      <c r="I86" s="216"/>
      <c r="J86" s="13"/>
      <c r="K86" s="13"/>
      <c r="L86" s="13"/>
      <c r="M86" s="13"/>
      <c r="N86" s="13"/>
      <c r="O86" s="13"/>
      <c r="P86" s="13"/>
      <c r="Q86" s="13"/>
      <c r="R86" s="13"/>
      <c r="S86" s="13"/>
      <c r="T86" s="13"/>
      <c r="U86" s="13"/>
      <c r="V86" s="143">
        <v>0.6</v>
      </c>
      <c r="W86" s="5">
        <v>0</v>
      </c>
      <c r="X86" s="5">
        <v>2</v>
      </c>
      <c r="Y86" s="23" t="s">
        <v>694</v>
      </c>
      <c r="Z86" s="19">
        <v>40546</v>
      </c>
      <c r="AA86" s="5"/>
      <c r="AB86" s="5"/>
    </row>
    <row r="87" spans="1:28" s="12" customFormat="1" ht="25" x14ac:dyDescent="0.3">
      <c r="A87" s="204"/>
      <c r="B87" s="22"/>
      <c r="C87" s="266">
        <v>39552</v>
      </c>
      <c r="D87" s="23" t="s">
        <v>165</v>
      </c>
      <c r="E87" s="23" t="s">
        <v>196</v>
      </c>
      <c r="F87" s="23"/>
      <c r="G87" s="13"/>
      <c r="H87" s="13"/>
      <c r="I87" s="216"/>
      <c r="J87" s="13"/>
      <c r="K87" s="13"/>
      <c r="L87" s="13"/>
      <c r="M87" s="13"/>
      <c r="N87" s="13"/>
      <c r="O87" s="13"/>
      <c r="P87" s="13"/>
      <c r="Q87" s="13"/>
      <c r="R87" s="13"/>
      <c r="S87" s="13"/>
      <c r="T87" s="13"/>
      <c r="U87" s="13"/>
      <c r="V87" s="143"/>
      <c r="W87" s="5"/>
      <c r="X87" s="5"/>
      <c r="Y87" s="23" t="s">
        <v>164</v>
      </c>
      <c r="Z87" s="19"/>
      <c r="AA87" s="5"/>
      <c r="AB87" s="5"/>
    </row>
    <row r="88" spans="1:28" s="61" customFormat="1" ht="62.5" x14ac:dyDescent="0.3">
      <c r="A88" s="221"/>
      <c r="B88" s="64"/>
      <c r="C88" s="54" t="s">
        <v>193</v>
      </c>
      <c r="D88" s="55" t="s">
        <v>637</v>
      </c>
      <c r="E88" s="55" t="s">
        <v>224</v>
      </c>
      <c r="F88" s="55"/>
      <c r="G88" s="60">
        <v>226</v>
      </c>
      <c r="H88" s="60">
        <v>6</v>
      </c>
      <c r="I88" s="215">
        <v>0.48</v>
      </c>
      <c r="J88" s="60"/>
      <c r="K88" s="60"/>
      <c r="L88" s="60"/>
      <c r="M88" s="60"/>
      <c r="N88" s="60"/>
      <c r="O88" s="60"/>
      <c r="P88" s="60"/>
      <c r="Q88" s="60"/>
      <c r="R88" s="60"/>
      <c r="S88" s="60"/>
      <c r="T88" s="60"/>
      <c r="U88" s="60"/>
      <c r="V88" s="206"/>
      <c r="W88" s="59">
        <f>SUM(W89:W91)</f>
        <v>0</v>
      </c>
      <c r="X88" s="59">
        <f>SUM(X89:X91)</f>
        <v>3</v>
      </c>
      <c r="Y88" s="55" t="s">
        <v>676</v>
      </c>
      <c r="Z88" s="58">
        <v>40514</v>
      </c>
      <c r="AA88" s="59"/>
      <c r="AB88" s="59"/>
    </row>
    <row r="89" spans="1:28" s="61" customFormat="1" ht="13" x14ac:dyDescent="0.3">
      <c r="A89" s="204"/>
      <c r="B89" s="23"/>
      <c r="C89" s="266">
        <v>38812</v>
      </c>
      <c r="D89" s="23" t="s">
        <v>637</v>
      </c>
      <c r="E89" s="23" t="s">
        <v>224</v>
      </c>
      <c r="F89" s="23"/>
      <c r="G89" s="13">
        <v>226</v>
      </c>
      <c r="H89" s="13">
        <v>6</v>
      </c>
      <c r="I89" s="216">
        <v>0.48</v>
      </c>
      <c r="J89" s="18"/>
      <c r="K89" s="18"/>
      <c r="L89" s="18"/>
      <c r="M89" s="18"/>
      <c r="N89" s="18"/>
      <c r="O89" s="18"/>
      <c r="P89" s="18"/>
      <c r="Q89" s="18"/>
      <c r="R89" s="18"/>
      <c r="S89" s="18"/>
      <c r="T89" s="18"/>
      <c r="U89" s="18"/>
      <c r="V89" s="140">
        <v>0.4</v>
      </c>
      <c r="W89" s="17">
        <v>0</v>
      </c>
      <c r="X89" s="17">
        <v>1</v>
      </c>
      <c r="Y89" s="14" t="s">
        <v>674</v>
      </c>
      <c r="Z89" s="19">
        <v>40514</v>
      </c>
      <c r="AA89" s="17"/>
      <c r="AB89" s="17"/>
    </row>
    <row r="90" spans="1:28" s="61" customFormat="1" ht="62.5" x14ac:dyDescent="0.3">
      <c r="A90" s="204" t="s">
        <v>595</v>
      </c>
      <c r="B90" s="23"/>
      <c r="C90" s="266">
        <v>40466.10833333333</v>
      </c>
      <c r="D90" s="23" t="s">
        <v>637</v>
      </c>
      <c r="E90" s="23" t="s">
        <v>224</v>
      </c>
      <c r="F90" s="23"/>
      <c r="G90" s="13">
        <v>226</v>
      </c>
      <c r="H90" s="13">
        <v>6</v>
      </c>
      <c r="I90" s="216">
        <v>0.48</v>
      </c>
      <c r="J90" s="18"/>
      <c r="K90" s="18"/>
      <c r="L90" s="18"/>
      <c r="M90" s="18"/>
      <c r="N90" s="18"/>
      <c r="O90" s="18"/>
      <c r="P90" s="18"/>
      <c r="Q90" s="18"/>
      <c r="R90" s="18"/>
      <c r="S90" s="18"/>
      <c r="T90" s="18"/>
      <c r="U90" s="18"/>
      <c r="V90" s="140">
        <v>0.6</v>
      </c>
      <c r="W90" s="17">
        <v>0</v>
      </c>
      <c r="X90" s="17">
        <v>1</v>
      </c>
      <c r="Y90" s="14" t="s">
        <v>648</v>
      </c>
      <c r="Z90" s="19">
        <v>40475</v>
      </c>
      <c r="AA90" s="17"/>
      <c r="AB90" s="17"/>
    </row>
    <row r="91" spans="1:28" s="61" customFormat="1" ht="50" x14ac:dyDescent="0.3">
      <c r="A91" s="204" t="s">
        <v>446</v>
      </c>
      <c r="B91" s="23"/>
      <c r="C91" s="266">
        <v>40468.181250000001</v>
      </c>
      <c r="D91" s="23" t="s">
        <v>637</v>
      </c>
      <c r="E91" s="23" t="s">
        <v>224</v>
      </c>
      <c r="F91" s="23"/>
      <c r="G91" s="13">
        <v>226</v>
      </c>
      <c r="H91" s="13">
        <v>6</v>
      </c>
      <c r="I91" s="216">
        <v>0.48</v>
      </c>
      <c r="J91" s="18"/>
      <c r="K91" s="18"/>
      <c r="L91" s="18"/>
      <c r="M91" s="18"/>
      <c r="N91" s="18"/>
      <c r="O91" s="18"/>
      <c r="P91" s="18"/>
      <c r="Q91" s="18"/>
      <c r="R91" s="18"/>
      <c r="S91" s="18"/>
      <c r="T91" s="18"/>
      <c r="U91" s="18"/>
      <c r="V91" s="140">
        <v>0.8</v>
      </c>
      <c r="W91" s="17">
        <v>0</v>
      </c>
      <c r="X91" s="17">
        <v>1</v>
      </c>
      <c r="Y91" s="14" t="s">
        <v>675</v>
      </c>
      <c r="Z91" s="19">
        <v>40472</v>
      </c>
      <c r="AA91" s="17"/>
      <c r="AB91" s="17"/>
    </row>
    <row r="92" spans="1:28" s="61" customFormat="1" ht="75" x14ac:dyDescent="0.3">
      <c r="A92" s="221"/>
      <c r="B92" s="64"/>
      <c r="C92" s="54" t="s">
        <v>193</v>
      </c>
      <c r="D92" s="55" t="s">
        <v>220</v>
      </c>
      <c r="E92" s="55" t="s">
        <v>224</v>
      </c>
      <c r="F92" s="55"/>
      <c r="G92" s="60">
        <v>226</v>
      </c>
      <c r="H92" s="60">
        <v>3</v>
      </c>
      <c r="I92" s="215"/>
      <c r="J92" s="60"/>
      <c r="K92" s="60"/>
      <c r="L92" s="60"/>
      <c r="M92" s="60"/>
      <c r="N92" s="60"/>
      <c r="O92" s="60"/>
      <c r="P92" s="60"/>
      <c r="Q92" s="60"/>
      <c r="R92" s="60"/>
      <c r="S92" s="60"/>
      <c r="T92" s="60"/>
      <c r="U92" s="60"/>
      <c r="V92" s="206"/>
      <c r="W92" s="59">
        <f>SUM(W93:W95)</f>
        <v>0</v>
      </c>
      <c r="X92" s="59">
        <f>SUM(X93:X95)</f>
        <v>3</v>
      </c>
      <c r="Y92" s="55" t="s">
        <v>673</v>
      </c>
      <c r="Z92" s="58">
        <v>40514</v>
      </c>
      <c r="AA92" s="59"/>
      <c r="AB92" s="59"/>
    </row>
    <row r="93" spans="1:28" s="61" customFormat="1" ht="13" x14ac:dyDescent="0.3">
      <c r="A93" s="204"/>
      <c r="B93" s="23"/>
      <c r="C93" s="266">
        <v>38812</v>
      </c>
      <c r="D93" s="23" t="s">
        <v>220</v>
      </c>
      <c r="E93" s="23" t="s">
        <v>224</v>
      </c>
      <c r="F93" s="23"/>
      <c r="G93" s="13">
        <v>226</v>
      </c>
      <c r="H93" s="13">
        <v>3</v>
      </c>
      <c r="I93" s="217"/>
      <c r="J93" s="18"/>
      <c r="K93" s="18"/>
      <c r="L93" s="18"/>
      <c r="M93" s="18"/>
      <c r="N93" s="18"/>
      <c r="O93" s="18"/>
      <c r="P93" s="18"/>
      <c r="Q93" s="18"/>
      <c r="R93" s="18"/>
      <c r="S93" s="18"/>
      <c r="T93" s="18"/>
      <c r="U93" s="18"/>
      <c r="V93" s="140">
        <v>0.4</v>
      </c>
      <c r="W93" s="17">
        <v>0</v>
      </c>
      <c r="X93" s="17">
        <v>1</v>
      </c>
      <c r="Y93" s="14" t="s">
        <v>674</v>
      </c>
      <c r="Z93" s="19">
        <v>40514</v>
      </c>
      <c r="AA93" s="17"/>
      <c r="AB93" s="17"/>
    </row>
    <row r="94" spans="1:28" s="61" customFormat="1" ht="62.5" x14ac:dyDescent="0.3">
      <c r="A94" s="204" t="s">
        <v>595</v>
      </c>
      <c r="B94" s="23"/>
      <c r="C94" s="266">
        <v>40466.10833333333</v>
      </c>
      <c r="D94" s="23" t="s">
        <v>220</v>
      </c>
      <c r="E94" s="23" t="s">
        <v>224</v>
      </c>
      <c r="F94" s="23"/>
      <c r="G94" s="13">
        <v>226</v>
      </c>
      <c r="H94" s="13">
        <v>3</v>
      </c>
      <c r="I94" s="217"/>
      <c r="J94" s="18"/>
      <c r="K94" s="18"/>
      <c r="L94" s="18"/>
      <c r="M94" s="18"/>
      <c r="N94" s="18"/>
      <c r="O94" s="18"/>
      <c r="P94" s="18"/>
      <c r="Q94" s="18"/>
      <c r="R94" s="18"/>
      <c r="S94" s="18"/>
      <c r="T94" s="18"/>
      <c r="U94" s="18"/>
      <c r="V94" s="140">
        <v>0.6</v>
      </c>
      <c r="W94" s="17">
        <v>0</v>
      </c>
      <c r="X94" s="17">
        <v>1</v>
      </c>
      <c r="Y94" s="14" t="s">
        <v>648</v>
      </c>
      <c r="Z94" s="19">
        <v>40475</v>
      </c>
      <c r="AA94" s="17"/>
      <c r="AB94" s="17"/>
    </row>
    <row r="95" spans="1:28" s="61" customFormat="1" ht="50" x14ac:dyDescent="0.3">
      <c r="A95" s="204" t="s">
        <v>446</v>
      </c>
      <c r="B95" s="23"/>
      <c r="C95" s="266">
        <v>40468.181250000001</v>
      </c>
      <c r="D95" s="23" t="s">
        <v>220</v>
      </c>
      <c r="E95" s="23" t="s">
        <v>224</v>
      </c>
      <c r="F95" s="23"/>
      <c r="G95" s="13">
        <v>226</v>
      </c>
      <c r="H95" s="13">
        <v>3</v>
      </c>
      <c r="I95" s="217"/>
      <c r="J95" s="18"/>
      <c r="K95" s="18"/>
      <c r="L95" s="18"/>
      <c r="M95" s="18"/>
      <c r="N95" s="18"/>
      <c r="O95" s="18"/>
      <c r="P95" s="18"/>
      <c r="Q95" s="18"/>
      <c r="R95" s="18"/>
      <c r="S95" s="18"/>
      <c r="T95" s="18"/>
      <c r="U95" s="18"/>
      <c r="V95" s="140">
        <v>0.8</v>
      </c>
      <c r="W95" s="17">
        <v>0</v>
      </c>
      <c r="X95" s="17">
        <v>1</v>
      </c>
      <c r="Y95" s="14" t="s">
        <v>675</v>
      </c>
      <c r="Z95" s="19">
        <v>40472</v>
      </c>
      <c r="AA95" s="17"/>
      <c r="AB95" s="17"/>
    </row>
    <row r="96" spans="1:28" s="61" customFormat="1" ht="87.5" x14ac:dyDescent="0.3">
      <c r="A96" s="221"/>
      <c r="B96" s="55"/>
      <c r="C96" s="54" t="s">
        <v>193</v>
      </c>
      <c r="D96" s="55" t="s">
        <v>677</v>
      </c>
      <c r="E96" s="55" t="s">
        <v>224</v>
      </c>
      <c r="F96" s="55"/>
      <c r="G96" s="56">
        <v>206</v>
      </c>
      <c r="H96" s="56">
        <v>2</v>
      </c>
      <c r="I96" s="218"/>
      <c r="J96" s="56"/>
      <c r="K96" s="56"/>
      <c r="L96" s="56"/>
      <c r="M96" s="56"/>
      <c r="N96" s="56"/>
      <c r="O96" s="56"/>
      <c r="P96" s="56"/>
      <c r="Q96" s="56"/>
      <c r="R96" s="56"/>
      <c r="S96" s="56"/>
      <c r="T96" s="56"/>
      <c r="U96" s="56"/>
      <c r="V96" s="213"/>
      <c r="W96" s="53">
        <f>SUM(W97:W100)</f>
        <v>0</v>
      </c>
      <c r="X96" s="53">
        <f>SUM(X97:X100)</f>
        <v>2</v>
      </c>
      <c r="Y96" s="57" t="s">
        <v>678</v>
      </c>
      <c r="Z96" s="58">
        <v>40514</v>
      </c>
      <c r="AA96" s="53"/>
      <c r="AB96" s="53"/>
    </row>
    <row r="97" spans="1:28" s="61" customFormat="1" ht="62.5" x14ac:dyDescent="0.3">
      <c r="A97" s="204" t="s">
        <v>595</v>
      </c>
      <c r="B97" s="23"/>
      <c r="C97" s="266">
        <v>40466.10833333333</v>
      </c>
      <c r="D97" s="23" t="s">
        <v>677</v>
      </c>
      <c r="E97" s="23" t="s">
        <v>224</v>
      </c>
      <c r="F97" s="23"/>
      <c r="G97" s="18">
        <v>206</v>
      </c>
      <c r="H97" s="18">
        <v>2</v>
      </c>
      <c r="I97" s="217"/>
      <c r="J97" s="18"/>
      <c r="K97" s="18"/>
      <c r="L97" s="18"/>
      <c r="M97" s="18"/>
      <c r="N97" s="18"/>
      <c r="O97" s="18"/>
      <c r="P97" s="18"/>
      <c r="Q97" s="18"/>
      <c r="R97" s="18"/>
      <c r="S97" s="18"/>
      <c r="T97" s="18"/>
      <c r="U97" s="18"/>
      <c r="V97" s="140">
        <v>0.6</v>
      </c>
      <c r="W97" s="17">
        <v>0</v>
      </c>
      <c r="X97" s="17">
        <v>1</v>
      </c>
      <c r="Y97" s="14" t="s">
        <v>648</v>
      </c>
      <c r="Z97" s="19">
        <v>40475</v>
      </c>
      <c r="AA97" s="17"/>
      <c r="AB97" s="17"/>
    </row>
    <row r="98" spans="1:28" s="61" customFormat="1" ht="50" x14ac:dyDescent="0.3">
      <c r="A98" s="204" t="s">
        <v>446</v>
      </c>
      <c r="B98" s="23"/>
      <c r="C98" s="266">
        <v>40468.181250000001</v>
      </c>
      <c r="D98" s="23" t="s">
        <v>677</v>
      </c>
      <c r="E98" s="23" t="s">
        <v>224</v>
      </c>
      <c r="F98" s="23"/>
      <c r="G98" s="18">
        <v>206</v>
      </c>
      <c r="H98" s="18">
        <v>2</v>
      </c>
      <c r="I98" s="217"/>
      <c r="J98" s="18"/>
      <c r="K98" s="18"/>
      <c r="L98" s="18"/>
      <c r="M98" s="18"/>
      <c r="N98" s="18"/>
      <c r="O98" s="18"/>
      <c r="P98" s="18"/>
      <c r="Q98" s="18"/>
      <c r="R98" s="18"/>
      <c r="S98" s="18"/>
      <c r="T98" s="18"/>
      <c r="U98" s="18"/>
      <c r="V98" s="140">
        <v>0.8</v>
      </c>
      <c r="W98" s="17">
        <v>0</v>
      </c>
      <c r="X98" s="17">
        <v>1</v>
      </c>
      <c r="Y98" s="14" t="s">
        <v>675</v>
      </c>
      <c r="Z98" s="19">
        <v>40472</v>
      </c>
      <c r="AA98" s="17"/>
      <c r="AB98" s="17"/>
    </row>
    <row r="99" spans="1:28" s="61" customFormat="1" ht="13" x14ac:dyDescent="0.3">
      <c r="A99" s="221"/>
      <c r="B99" s="55"/>
      <c r="C99" s="54" t="s">
        <v>193</v>
      </c>
      <c r="D99" s="55" t="s">
        <v>808</v>
      </c>
      <c r="E99" s="55" t="s">
        <v>601</v>
      </c>
      <c r="F99" s="55"/>
      <c r="G99" s="56"/>
      <c r="H99" s="56"/>
      <c r="I99" s="218"/>
      <c r="J99" s="56"/>
      <c r="K99" s="56"/>
      <c r="L99" s="56"/>
      <c r="M99" s="56"/>
      <c r="N99" s="56"/>
      <c r="O99" s="56"/>
      <c r="P99" s="56"/>
      <c r="Q99" s="56"/>
      <c r="R99" s="56"/>
      <c r="S99" s="56"/>
      <c r="T99" s="56"/>
      <c r="U99" s="56"/>
      <c r="V99" s="213"/>
      <c r="W99" s="53"/>
      <c r="X99" s="53"/>
      <c r="Y99" s="57" t="s">
        <v>809</v>
      </c>
      <c r="Z99" s="58"/>
      <c r="AA99" s="53"/>
      <c r="AB99" s="53"/>
    </row>
    <row r="100" spans="1:28" s="61" customFormat="1" ht="37.5" x14ac:dyDescent="0.3">
      <c r="A100" s="204" t="s">
        <v>446</v>
      </c>
      <c r="B100" s="23"/>
      <c r="C100" s="266">
        <v>40083.155555555553</v>
      </c>
      <c r="D100" s="23" t="s">
        <v>808</v>
      </c>
      <c r="E100" s="23" t="s">
        <v>601</v>
      </c>
      <c r="F100" s="23"/>
      <c r="G100" s="18"/>
      <c r="H100" s="18"/>
      <c r="I100" s="217"/>
      <c r="J100" s="18"/>
      <c r="K100" s="18"/>
      <c r="L100" s="18"/>
      <c r="M100" s="18"/>
      <c r="N100" s="18"/>
      <c r="O100" s="18"/>
      <c r="P100" s="18"/>
      <c r="Q100" s="18"/>
      <c r="R100" s="18"/>
      <c r="S100" s="18"/>
      <c r="T100" s="18"/>
      <c r="U100" s="18"/>
      <c r="V100" s="140"/>
      <c r="W100" s="17"/>
      <c r="X100" s="17"/>
      <c r="Y100" s="14" t="s">
        <v>810</v>
      </c>
      <c r="Z100" s="19">
        <v>42128</v>
      </c>
      <c r="AA100" s="17"/>
      <c r="AB100" s="17"/>
    </row>
    <row r="101" spans="1:28" s="12" customFormat="1" ht="13" x14ac:dyDescent="0.3">
      <c r="A101" s="204"/>
      <c r="B101" s="23"/>
      <c r="C101" s="266">
        <v>38847</v>
      </c>
      <c r="D101" s="23" t="s">
        <v>225</v>
      </c>
      <c r="E101" s="23" t="s">
        <v>196</v>
      </c>
      <c r="F101" s="23"/>
      <c r="G101" s="18"/>
      <c r="H101" s="18"/>
      <c r="I101" s="217"/>
      <c r="J101" s="18"/>
      <c r="K101" s="18"/>
      <c r="L101" s="18"/>
      <c r="M101" s="18"/>
      <c r="N101" s="18"/>
      <c r="O101" s="18"/>
      <c r="P101" s="18"/>
      <c r="Q101" s="18"/>
      <c r="R101" s="18"/>
      <c r="S101" s="18"/>
      <c r="T101" s="18"/>
      <c r="U101" s="18"/>
      <c r="V101" s="207"/>
      <c r="W101" s="17">
        <v>0</v>
      </c>
      <c r="X101" s="17">
        <v>1</v>
      </c>
      <c r="Y101" s="14" t="s">
        <v>229</v>
      </c>
      <c r="Z101" s="19"/>
      <c r="AA101" s="17"/>
      <c r="AB101" s="17"/>
    </row>
    <row r="102" spans="1:28" s="12" customFormat="1" ht="13" x14ac:dyDescent="0.3">
      <c r="A102" s="221"/>
      <c r="B102" s="23"/>
      <c r="C102" s="266">
        <v>38904</v>
      </c>
      <c r="D102" s="23" t="s">
        <v>231</v>
      </c>
      <c r="E102" s="23" t="s">
        <v>232</v>
      </c>
      <c r="F102" s="23"/>
      <c r="G102" s="18"/>
      <c r="H102" s="18"/>
      <c r="I102" s="217"/>
      <c r="J102" s="18"/>
      <c r="K102" s="18"/>
      <c r="L102" s="18"/>
      <c r="M102" s="18"/>
      <c r="N102" s="18"/>
      <c r="O102" s="18"/>
      <c r="P102" s="18"/>
      <c r="Q102" s="18"/>
      <c r="R102" s="18"/>
      <c r="S102" s="18"/>
      <c r="T102" s="18"/>
      <c r="U102" s="18"/>
      <c r="V102" s="207"/>
      <c r="W102" s="17"/>
      <c r="X102" s="17"/>
      <c r="Y102" s="14"/>
      <c r="Z102" s="19"/>
      <c r="AA102" s="17"/>
      <c r="AB102" s="17"/>
    </row>
    <row r="103" spans="1:28" s="12" customFormat="1" ht="25" x14ac:dyDescent="0.3">
      <c r="A103" s="204"/>
      <c r="B103" s="22"/>
      <c r="C103" s="266">
        <v>39490</v>
      </c>
      <c r="D103" s="23" t="s">
        <v>276</v>
      </c>
      <c r="E103" s="23" t="s">
        <v>273</v>
      </c>
      <c r="F103" s="23"/>
      <c r="G103" s="13"/>
      <c r="H103" s="13"/>
      <c r="I103" s="216"/>
      <c r="J103" s="13"/>
      <c r="K103" s="13"/>
      <c r="L103" s="13"/>
      <c r="M103" s="13"/>
      <c r="N103" s="13"/>
      <c r="O103" s="13"/>
      <c r="P103" s="13"/>
      <c r="Q103" s="13"/>
      <c r="R103" s="13"/>
      <c r="S103" s="13"/>
      <c r="T103" s="13"/>
      <c r="U103" s="13"/>
      <c r="V103" s="143"/>
      <c r="W103" s="5"/>
      <c r="X103" s="5"/>
      <c r="Y103" s="23" t="s">
        <v>278</v>
      </c>
      <c r="Z103" s="19">
        <v>39498</v>
      </c>
      <c r="AA103" s="5"/>
      <c r="AB103" s="5"/>
    </row>
    <row r="104" spans="1:28" s="12" customFormat="1" ht="13" x14ac:dyDescent="0.3">
      <c r="A104" s="204"/>
      <c r="B104" s="22"/>
      <c r="C104" s="266">
        <v>39256</v>
      </c>
      <c r="D104" s="22" t="s">
        <v>241</v>
      </c>
      <c r="E104" s="22" t="s">
        <v>247</v>
      </c>
      <c r="F104" s="22"/>
      <c r="G104" s="13"/>
      <c r="H104" s="13"/>
      <c r="I104" s="216"/>
      <c r="J104" s="13"/>
      <c r="K104" s="13"/>
      <c r="L104" s="13"/>
      <c r="M104" s="13"/>
      <c r="N104" s="13"/>
      <c r="O104" s="13"/>
      <c r="P104" s="13"/>
      <c r="Q104" s="13"/>
      <c r="R104" s="13"/>
      <c r="S104" s="13"/>
      <c r="T104" s="13"/>
      <c r="U104" s="13"/>
      <c r="V104" s="143"/>
      <c r="W104" s="5"/>
      <c r="X104" s="5"/>
      <c r="Y104" s="23"/>
      <c r="Z104" s="19">
        <v>39258</v>
      </c>
      <c r="AA104" s="5"/>
      <c r="AB104" s="5"/>
    </row>
    <row r="105" spans="1:28" s="12" customFormat="1" ht="25" x14ac:dyDescent="0.3">
      <c r="A105" s="204"/>
      <c r="B105" s="22"/>
      <c r="C105" s="266">
        <v>39843.979861111111</v>
      </c>
      <c r="D105" s="23" t="s">
        <v>603</v>
      </c>
      <c r="E105" s="23" t="s">
        <v>196</v>
      </c>
      <c r="F105" s="23"/>
      <c r="G105" s="13"/>
      <c r="H105" s="13"/>
      <c r="I105" s="216"/>
      <c r="J105" s="13"/>
      <c r="K105" s="13"/>
      <c r="L105" s="13"/>
      <c r="M105" s="13"/>
      <c r="N105" s="13"/>
      <c r="O105" s="13"/>
      <c r="P105" s="13"/>
      <c r="Q105" s="13"/>
      <c r="R105" s="13"/>
      <c r="S105" s="13"/>
      <c r="T105" s="13"/>
      <c r="U105" s="13"/>
      <c r="V105" s="143"/>
      <c r="W105" s="17">
        <v>0</v>
      </c>
      <c r="X105" s="17">
        <v>1</v>
      </c>
      <c r="Y105" s="14" t="s">
        <v>598</v>
      </c>
      <c r="Z105" s="19">
        <v>40415</v>
      </c>
      <c r="AA105" s="5"/>
      <c r="AB105" s="5"/>
    </row>
    <row r="106" spans="1:28" s="12" customFormat="1" ht="25" x14ac:dyDescent="0.3">
      <c r="A106" s="204"/>
      <c r="B106" s="22"/>
      <c r="C106" s="266">
        <v>39460</v>
      </c>
      <c r="D106" s="23" t="s">
        <v>286</v>
      </c>
      <c r="E106" s="23" t="s">
        <v>273</v>
      </c>
      <c r="F106" s="23"/>
      <c r="G106" s="13"/>
      <c r="H106" s="13"/>
      <c r="I106" s="216"/>
      <c r="J106" s="13"/>
      <c r="K106" s="13"/>
      <c r="L106" s="13"/>
      <c r="M106" s="13"/>
      <c r="N106" s="13"/>
      <c r="O106" s="13"/>
      <c r="P106" s="13"/>
      <c r="Q106" s="13"/>
      <c r="R106" s="13"/>
      <c r="S106" s="13"/>
      <c r="T106" s="13"/>
      <c r="U106" s="13"/>
      <c r="V106" s="143"/>
      <c r="W106" s="5"/>
      <c r="X106" s="5"/>
      <c r="Y106" s="41" t="s">
        <v>287</v>
      </c>
      <c r="Z106" s="38">
        <v>39498</v>
      </c>
      <c r="AA106" s="5"/>
      <c r="AB106" s="5"/>
    </row>
    <row r="107" spans="1:28" s="12" customFormat="1" ht="13" x14ac:dyDescent="0.3">
      <c r="A107" s="204"/>
      <c r="B107" s="23"/>
      <c r="C107" s="266">
        <v>38810</v>
      </c>
      <c r="D107" s="23" t="s">
        <v>217</v>
      </c>
      <c r="E107" s="23" t="s">
        <v>196</v>
      </c>
      <c r="F107" s="23"/>
      <c r="G107" s="18"/>
      <c r="H107" s="18"/>
      <c r="I107" s="217"/>
      <c r="J107" s="18"/>
      <c r="K107" s="18"/>
      <c r="L107" s="18"/>
      <c r="M107" s="18"/>
      <c r="N107" s="18"/>
      <c r="O107" s="18"/>
      <c r="P107" s="18"/>
      <c r="Q107" s="18"/>
      <c r="R107" s="18"/>
      <c r="S107" s="18"/>
      <c r="T107" s="18"/>
      <c r="U107" s="18"/>
      <c r="V107" s="140" t="s">
        <v>6</v>
      </c>
      <c r="W107" s="17">
        <v>0</v>
      </c>
      <c r="X107" s="17">
        <v>1</v>
      </c>
      <c r="Y107" s="14"/>
      <c r="Z107" s="19">
        <v>38817</v>
      </c>
      <c r="AA107" s="17"/>
      <c r="AB107" s="17"/>
    </row>
    <row r="108" spans="1:28" s="12" customFormat="1" ht="25" x14ac:dyDescent="0.3">
      <c r="A108" s="204"/>
      <c r="B108" s="22"/>
      <c r="C108" s="266">
        <v>39490</v>
      </c>
      <c r="D108" s="23" t="s">
        <v>272</v>
      </c>
      <c r="E108" s="23" t="s">
        <v>273</v>
      </c>
      <c r="F108" s="23"/>
      <c r="G108" s="13"/>
      <c r="H108" s="13"/>
      <c r="I108" s="216"/>
      <c r="J108" s="13"/>
      <c r="K108" s="13"/>
      <c r="L108" s="13"/>
      <c r="M108" s="13"/>
      <c r="N108" s="13"/>
      <c r="O108" s="13"/>
      <c r="P108" s="13"/>
      <c r="Q108" s="13"/>
      <c r="R108" s="13"/>
      <c r="S108" s="13"/>
      <c r="T108" s="13"/>
      <c r="U108" s="13"/>
      <c r="V108" s="143"/>
      <c r="W108" s="5"/>
      <c r="X108" s="5"/>
      <c r="Y108" s="23" t="s">
        <v>277</v>
      </c>
      <c r="Z108" s="19">
        <v>39498</v>
      </c>
      <c r="AA108" s="5"/>
      <c r="AB108" s="5"/>
    </row>
    <row r="109" spans="1:28" s="61" customFormat="1" ht="13" x14ac:dyDescent="0.3">
      <c r="A109" s="204"/>
      <c r="B109" s="23"/>
      <c r="C109" s="266">
        <v>38696</v>
      </c>
      <c r="D109" s="23" t="s">
        <v>205</v>
      </c>
      <c r="E109" s="23" t="s">
        <v>196</v>
      </c>
      <c r="F109" s="23"/>
      <c r="G109" s="18">
        <v>41</v>
      </c>
      <c r="H109" s="18">
        <v>33</v>
      </c>
      <c r="I109" s="217"/>
      <c r="J109" s="18"/>
      <c r="K109" s="18"/>
      <c r="L109" s="18"/>
      <c r="M109" s="18"/>
      <c r="N109" s="18"/>
      <c r="O109" s="18"/>
      <c r="P109" s="18"/>
      <c r="Q109" s="18"/>
      <c r="R109" s="18"/>
      <c r="S109" s="18"/>
      <c r="T109" s="18"/>
      <c r="U109" s="18"/>
      <c r="V109" s="140" t="s">
        <v>197</v>
      </c>
      <c r="W109" s="17">
        <v>0</v>
      </c>
      <c r="X109" s="17">
        <v>1</v>
      </c>
      <c r="Y109" s="23" t="s">
        <v>208</v>
      </c>
      <c r="Z109" s="25">
        <v>38707</v>
      </c>
      <c r="AA109" s="17"/>
      <c r="AB109" s="17"/>
    </row>
    <row r="110" spans="1:28" s="12" customFormat="1" ht="25" x14ac:dyDescent="0.3">
      <c r="A110" s="204"/>
      <c r="B110" s="22"/>
      <c r="C110" s="266">
        <v>39081</v>
      </c>
      <c r="D110" s="22" t="s">
        <v>205</v>
      </c>
      <c r="E110" s="22" t="s">
        <v>196</v>
      </c>
      <c r="F110" s="22"/>
      <c r="G110" s="13"/>
      <c r="H110" s="13"/>
      <c r="I110" s="216"/>
      <c r="J110" s="18"/>
      <c r="K110" s="18"/>
      <c r="L110" s="18"/>
      <c r="M110" s="18"/>
      <c r="N110" s="18"/>
      <c r="O110" s="18"/>
      <c r="P110" s="18"/>
      <c r="Q110" s="18"/>
      <c r="R110" s="18"/>
      <c r="S110" s="18"/>
      <c r="T110" s="18"/>
      <c r="U110" s="13"/>
      <c r="V110" s="143"/>
      <c r="W110" s="5"/>
      <c r="X110" s="5"/>
      <c r="Y110" s="14" t="s">
        <v>660</v>
      </c>
      <c r="Z110" s="19">
        <v>40506</v>
      </c>
      <c r="AA110" s="17"/>
      <c r="AB110" s="17"/>
    </row>
    <row r="111" spans="1:28" s="12" customFormat="1" ht="25" x14ac:dyDescent="0.3">
      <c r="A111" s="221"/>
      <c r="B111" s="22"/>
      <c r="C111" s="266">
        <v>39490</v>
      </c>
      <c r="D111" s="23" t="s">
        <v>275</v>
      </c>
      <c r="E111" s="23" t="s">
        <v>146</v>
      </c>
      <c r="F111" s="23"/>
      <c r="G111" s="13"/>
      <c r="H111" s="13"/>
      <c r="I111" s="216"/>
      <c r="J111" s="13"/>
      <c r="K111" s="13"/>
      <c r="L111" s="13"/>
      <c r="M111" s="13"/>
      <c r="N111" s="13"/>
      <c r="O111" s="13"/>
      <c r="P111" s="13"/>
      <c r="Q111" s="13"/>
      <c r="R111" s="13"/>
      <c r="S111" s="13"/>
      <c r="T111" s="13"/>
      <c r="U111" s="13"/>
      <c r="V111" s="143"/>
      <c r="W111" s="5"/>
      <c r="X111" s="5"/>
      <c r="Y111" s="41" t="s">
        <v>278</v>
      </c>
      <c r="Z111" s="19">
        <v>39498</v>
      </c>
      <c r="AA111" s="5"/>
      <c r="AB111" s="5"/>
    </row>
    <row r="112" spans="1:28" s="12" customFormat="1" ht="13" x14ac:dyDescent="0.3">
      <c r="A112" s="204"/>
      <c r="B112" s="23"/>
      <c r="C112" s="266">
        <v>38847</v>
      </c>
      <c r="D112" s="23" t="s">
        <v>223</v>
      </c>
      <c r="E112" s="23" t="s">
        <v>224</v>
      </c>
      <c r="F112" s="23"/>
      <c r="G112" s="18"/>
      <c r="H112" s="18"/>
      <c r="I112" s="217"/>
      <c r="J112" s="18"/>
      <c r="K112" s="18"/>
      <c r="L112" s="18"/>
      <c r="M112" s="18"/>
      <c r="N112" s="18"/>
      <c r="O112" s="18"/>
      <c r="P112" s="18"/>
      <c r="Q112" s="18"/>
      <c r="R112" s="18"/>
      <c r="S112" s="18"/>
      <c r="T112" s="18"/>
      <c r="U112" s="18"/>
      <c r="V112" s="140"/>
      <c r="W112" s="17">
        <v>0</v>
      </c>
      <c r="X112" s="17">
        <v>1</v>
      </c>
      <c r="Y112" s="14" t="s">
        <v>229</v>
      </c>
      <c r="Z112" s="19"/>
      <c r="AA112" s="17"/>
      <c r="AB112" s="17"/>
    </row>
    <row r="113" spans="1:28" s="12" customFormat="1" ht="25" x14ac:dyDescent="0.3">
      <c r="A113" s="204"/>
      <c r="B113" s="63"/>
      <c r="C113" s="266">
        <v>38224</v>
      </c>
      <c r="D113" s="17"/>
      <c r="E113" s="23"/>
      <c r="F113" s="23"/>
      <c r="G113" s="18">
        <f>32.8*60</f>
        <v>1967.9999999999998</v>
      </c>
      <c r="H113" s="18">
        <v>1200</v>
      </c>
      <c r="I113" s="217">
        <v>-11.12</v>
      </c>
      <c r="J113" s="18"/>
      <c r="K113" s="18"/>
      <c r="L113" s="18"/>
      <c r="M113" s="18"/>
      <c r="N113" s="18"/>
      <c r="O113" s="18"/>
      <c r="P113" s="18"/>
      <c r="Q113" s="18"/>
      <c r="R113" s="18"/>
      <c r="S113" s="18"/>
      <c r="T113" s="18"/>
      <c r="U113" s="18">
        <v>21</v>
      </c>
      <c r="V113" s="210"/>
      <c r="W113" s="17">
        <v>0</v>
      </c>
      <c r="X113" s="17">
        <v>1</v>
      </c>
      <c r="Y113" s="14" t="s">
        <v>406</v>
      </c>
      <c r="Z113" s="25">
        <v>38644</v>
      </c>
      <c r="AA113" s="30"/>
      <c r="AB113" s="31"/>
    </row>
    <row r="114" spans="1:28" s="12" customFormat="1" ht="25" x14ac:dyDescent="0.3">
      <c r="A114" s="204"/>
      <c r="B114" s="63"/>
      <c r="C114" s="266">
        <v>38224</v>
      </c>
      <c r="D114" s="17"/>
      <c r="E114" s="23"/>
      <c r="F114" s="23"/>
      <c r="G114" s="18">
        <f>32.8*60</f>
        <v>1967.9999999999998</v>
      </c>
      <c r="H114" s="18">
        <v>1200</v>
      </c>
      <c r="I114" s="217">
        <v>-11.12</v>
      </c>
      <c r="J114" s="18"/>
      <c r="K114" s="18"/>
      <c r="L114" s="18"/>
      <c r="M114" s="18"/>
      <c r="N114" s="18"/>
      <c r="O114" s="18"/>
      <c r="P114" s="18"/>
      <c r="Q114" s="18"/>
      <c r="R114" s="18"/>
      <c r="S114" s="18"/>
      <c r="T114" s="18"/>
      <c r="U114" s="18">
        <v>21</v>
      </c>
      <c r="V114" s="210"/>
      <c r="W114" s="17">
        <v>0</v>
      </c>
      <c r="X114" s="17">
        <v>1</v>
      </c>
      <c r="Y114" s="14" t="s">
        <v>407</v>
      </c>
      <c r="Z114" s="25">
        <v>38644</v>
      </c>
      <c r="AA114" s="30"/>
      <c r="AB114" s="31"/>
    </row>
    <row r="115" spans="1:28" s="12" customFormat="1" ht="25" x14ac:dyDescent="0.3">
      <c r="A115" s="204"/>
      <c r="B115" s="63"/>
      <c r="C115" s="266">
        <v>38224</v>
      </c>
      <c r="D115" s="17"/>
      <c r="E115" s="23"/>
      <c r="F115" s="23"/>
      <c r="G115" s="18">
        <f>32.8*60</f>
        <v>1967.9999999999998</v>
      </c>
      <c r="H115" s="18">
        <v>1200</v>
      </c>
      <c r="I115" s="217">
        <v>-11.12</v>
      </c>
      <c r="J115" s="18"/>
      <c r="K115" s="18"/>
      <c r="L115" s="18"/>
      <c r="M115" s="18"/>
      <c r="N115" s="18"/>
      <c r="O115" s="18"/>
      <c r="P115" s="18"/>
      <c r="Q115" s="18"/>
      <c r="R115" s="18"/>
      <c r="S115" s="18"/>
      <c r="T115" s="18"/>
      <c r="U115" s="18">
        <v>21</v>
      </c>
      <c r="V115" s="210"/>
      <c r="W115" s="17">
        <v>0</v>
      </c>
      <c r="X115" s="17">
        <v>1</v>
      </c>
      <c r="Y115" s="14" t="s">
        <v>408</v>
      </c>
      <c r="Z115" s="25">
        <v>38644</v>
      </c>
      <c r="AA115" s="30"/>
      <c r="AB115" s="31"/>
    </row>
    <row r="116" spans="1:28" s="12" customFormat="1" ht="50" x14ac:dyDescent="0.3">
      <c r="A116" s="204"/>
      <c r="B116" s="63"/>
      <c r="C116" s="266">
        <v>38224</v>
      </c>
      <c r="D116" s="17"/>
      <c r="E116" s="23"/>
      <c r="F116" s="23"/>
      <c r="G116" s="18">
        <f>32.8*60</f>
        <v>1967.9999999999998</v>
      </c>
      <c r="H116" s="18">
        <v>1200</v>
      </c>
      <c r="I116" s="217">
        <v>-11.12</v>
      </c>
      <c r="J116" s="18"/>
      <c r="K116" s="18"/>
      <c r="L116" s="18"/>
      <c r="M116" s="18"/>
      <c r="N116" s="18"/>
      <c r="O116" s="18"/>
      <c r="P116" s="18"/>
      <c r="Q116" s="18"/>
      <c r="R116" s="18"/>
      <c r="S116" s="18"/>
      <c r="T116" s="18"/>
      <c r="U116" s="18">
        <v>21</v>
      </c>
      <c r="V116" s="210"/>
      <c r="W116" s="17">
        <v>0</v>
      </c>
      <c r="X116" s="17">
        <v>1</v>
      </c>
      <c r="Y116" s="14" t="s">
        <v>409</v>
      </c>
      <c r="Z116" s="25">
        <v>38644</v>
      </c>
      <c r="AA116" s="30"/>
      <c r="AB116" s="31"/>
    </row>
    <row r="117" spans="1:28" s="12" customFormat="1" ht="37.5" x14ac:dyDescent="0.3">
      <c r="A117" s="204"/>
      <c r="B117" s="63"/>
      <c r="C117" s="266">
        <v>38369</v>
      </c>
      <c r="D117" s="23"/>
      <c r="E117" s="23"/>
      <c r="F117" s="23"/>
      <c r="G117" s="18">
        <v>1842</v>
      </c>
      <c r="H117" s="18">
        <v>900</v>
      </c>
      <c r="I117" s="217">
        <v>-10.4</v>
      </c>
      <c r="J117" s="18"/>
      <c r="K117" s="18"/>
      <c r="L117" s="18"/>
      <c r="M117" s="18"/>
      <c r="N117" s="18"/>
      <c r="O117" s="18"/>
      <c r="P117" s="18"/>
      <c r="Q117" s="18"/>
      <c r="R117" s="18"/>
      <c r="S117" s="18"/>
      <c r="T117" s="18"/>
      <c r="U117" s="18"/>
      <c r="V117" s="211"/>
      <c r="W117" s="17">
        <v>0</v>
      </c>
      <c r="X117" s="17">
        <v>1</v>
      </c>
      <c r="Y117" s="14" t="s">
        <v>148</v>
      </c>
      <c r="Z117" s="25">
        <v>38644</v>
      </c>
      <c r="AA117" s="30"/>
      <c r="AB117" s="31"/>
    </row>
    <row r="118" spans="1:28" s="12" customFormat="1" ht="13" x14ac:dyDescent="0.3">
      <c r="A118" s="204"/>
      <c r="B118" s="23"/>
      <c r="C118" s="266">
        <v>38696</v>
      </c>
      <c r="D118" s="23"/>
      <c r="E118" s="23" t="s">
        <v>196</v>
      </c>
      <c r="F118" s="23"/>
      <c r="G118" s="18">
        <v>104</v>
      </c>
      <c r="H118" s="18">
        <v>104</v>
      </c>
      <c r="I118" s="217"/>
      <c r="J118" s="18"/>
      <c r="K118" s="18"/>
      <c r="L118" s="18"/>
      <c r="M118" s="18"/>
      <c r="N118" s="18"/>
      <c r="O118" s="18"/>
      <c r="P118" s="18"/>
      <c r="Q118" s="18"/>
      <c r="R118" s="18"/>
      <c r="S118" s="18"/>
      <c r="T118" s="18"/>
      <c r="U118" s="18"/>
      <c r="V118" s="140" t="s">
        <v>197</v>
      </c>
      <c r="W118" s="17">
        <v>0</v>
      </c>
      <c r="X118" s="17">
        <v>1</v>
      </c>
      <c r="Y118" s="14"/>
      <c r="Z118" s="19">
        <v>38729</v>
      </c>
      <c r="AA118" s="17"/>
      <c r="AB118" s="17"/>
    </row>
    <row r="119" spans="1:28" s="12" customFormat="1" ht="13" x14ac:dyDescent="0.3">
      <c r="A119" s="204"/>
      <c r="B119" s="23"/>
      <c r="C119" s="266">
        <v>38696</v>
      </c>
      <c r="D119" s="23"/>
      <c r="E119" s="23" t="s">
        <v>196</v>
      </c>
      <c r="F119" s="23"/>
      <c r="G119" s="18">
        <v>104</v>
      </c>
      <c r="H119" s="18">
        <v>104</v>
      </c>
      <c r="I119" s="217"/>
      <c r="J119" s="18"/>
      <c r="K119" s="18"/>
      <c r="L119" s="18"/>
      <c r="M119" s="18"/>
      <c r="N119" s="18"/>
      <c r="O119" s="18"/>
      <c r="P119" s="18"/>
      <c r="Q119" s="18"/>
      <c r="R119" s="18"/>
      <c r="S119" s="18"/>
      <c r="T119" s="18"/>
      <c r="U119" s="18"/>
      <c r="V119" s="140" t="s">
        <v>197</v>
      </c>
      <c r="W119" s="17">
        <v>0</v>
      </c>
      <c r="X119" s="17">
        <v>1</v>
      </c>
      <c r="Y119" s="14"/>
      <c r="Z119" s="19">
        <v>38729</v>
      </c>
      <c r="AA119" s="17"/>
      <c r="AB119" s="17"/>
    </row>
    <row r="120" spans="1:28" s="12" customFormat="1" ht="13" x14ac:dyDescent="0.3">
      <c r="A120" s="204"/>
      <c r="B120" s="23"/>
      <c r="C120" s="266">
        <v>38696</v>
      </c>
      <c r="D120" s="23"/>
      <c r="E120" s="23" t="s">
        <v>196</v>
      </c>
      <c r="F120" s="23"/>
      <c r="G120" s="18">
        <v>104</v>
      </c>
      <c r="H120" s="18">
        <v>104</v>
      </c>
      <c r="I120" s="217"/>
      <c r="J120" s="18"/>
      <c r="K120" s="18"/>
      <c r="L120" s="18"/>
      <c r="M120" s="18"/>
      <c r="N120" s="18"/>
      <c r="O120" s="18"/>
      <c r="P120" s="18"/>
      <c r="Q120" s="18"/>
      <c r="R120" s="18"/>
      <c r="S120" s="18"/>
      <c r="T120" s="18"/>
      <c r="U120" s="18"/>
      <c r="V120" s="140" t="s">
        <v>197</v>
      </c>
      <c r="W120" s="17">
        <v>0</v>
      </c>
      <c r="X120" s="17">
        <v>1</v>
      </c>
      <c r="Y120" s="14"/>
      <c r="Z120" s="19">
        <v>38729</v>
      </c>
      <c r="AA120" s="17"/>
      <c r="AB120" s="17"/>
    </row>
    <row r="121" spans="1:28" s="12" customFormat="1" ht="13" x14ac:dyDescent="0.3">
      <c r="A121" s="204"/>
      <c r="B121" s="23"/>
      <c r="C121" s="266">
        <v>38696</v>
      </c>
      <c r="D121" s="23"/>
      <c r="E121" s="23" t="s">
        <v>196</v>
      </c>
      <c r="F121" s="23"/>
      <c r="G121" s="18">
        <v>104</v>
      </c>
      <c r="H121" s="18">
        <v>104</v>
      </c>
      <c r="I121" s="217"/>
      <c r="J121" s="18"/>
      <c r="K121" s="18"/>
      <c r="L121" s="18"/>
      <c r="M121" s="18"/>
      <c r="N121" s="18"/>
      <c r="O121" s="18"/>
      <c r="P121" s="18"/>
      <c r="Q121" s="18"/>
      <c r="R121" s="18"/>
      <c r="S121" s="18"/>
      <c r="T121" s="18"/>
      <c r="U121" s="18"/>
      <c r="V121" s="140" t="s">
        <v>197</v>
      </c>
      <c r="W121" s="17">
        <v>0</v>
      </c>
      <c r="X121" s="17">
        <v>1</v>
      </c>
      <c r="Y121" s="14"/>
      <c r="Z121" s="19">
        <v>38729</v>
      </c>
      <c r="AA121" s="17"/>
      <c r="AB121" s="17"/>
    </row>
    <row r="122" spans="1:28" s="12" customFormat="1" ht="13" x14ac:dyDescent="0.3">
      <c r="A122" s="204"/>
      <c r="B122" s="23"/>
      <c r="C122" s="266">
        <v>38696</v>
      </c>
      <c r="D122" s="23"/>
      <c r="E122" s="23" t="s">
        <v>196</v>
      </c>
      <c r="F122" s="23"/>
      <c r="G122" s="18">
        <v>104</v>
      </c>
      <c r="H122" s="18">
        <v>104</v>
      </c>
      <c r="I122" s="217"/>
      <c r="J122" s="18"/>
      <c r="K122" s="18"/>
      <c r="L122" s="18"/>
      <c r="M122" s="18"/>
      <c r="N122" s="18"/>
      <c r="O122" s="18"/>
      <c r="P122" s="18"/>
      <c r="Q122" s="18"/>
      <c r="R122" s="18"/>
      <c r="S122" s="18"/>
      <c r="T122" s="18"/>
      <c r="U122" s="18"/>
      <c r="V122" s="140" t="s">
        <v>197</v>
      </c>
      <c r="W122" s="17">
        <v>0</v>
      </c>
      <c r="X122" s="17">
        <v>1</v>
      </c>
      <c r="Y122" s="14"/>
      <c r="Z122" s="19">
        <v>38729</v>
      </c>
      <c r="AA122" s="17"/>
      <c r="AB122" s="17"/>
    </row>
    <row r="123" spans="1:28" s="5" customFormat="1" ht="75" x14ac:dyDescent="0.25">
      <c r="A123" s="17"/>
      <c r="B123" s="24"/>
      <c r="C123" s="266">
        <v>40376.125</v>
      </c>
      <c r="D123" s="24"/>
      <c r="E123" s="24"/>
      <c r="F123" s="24"/>
      <c r="G123" s="20"/>
      <c r="H123" s="20"/>
      <c r="I123" s="219"/>
      <c r="J123" s="20"/>
      <c r="K123" s="20"/>
      <c r="L123" s="20"/>
      <c r="M123" s="20"/>
      <c r="N123" s="20"/>
      <c r="O123" s="20"/>
      <c r="P123" s="20"/>
      <c r="Q123" s="20"/>
      <c r="R123" s="20"/>
      <c r="S123" s="20"/>
      <c r="T123" s="20"/>
      <c r="U123" s="20"/>
      <c r="V123" s="212"/>
      <c r="W123" s="17">
        <v>1</v>
      </c>
      <c r="X123" s="17">
        <v>0</v>
      </c>
      <c r="Y123" s="14" t="s">
        <v>596</v>
      </c>
      <c r="Z123" s="21">
        <v>40415</v>
      </c>
    </row>
    <row r="124" spans="1:28" s="5" customFormat="1" ht="50" x14ac:dyDescent="0.25">
      <c r="A124" s="204" t="s">
        <v>595</v>
      </c>
      <c r="B124" s="23"/>
      <c r="C124" s="266">
        <v>40466.122916666667</v>
      </c>
      <c r="D124" s="23" t="s">
        <v>647</v>
      </c>
      <c r="E124" s="23" t="s">
        <v>224</v>
      </c>
      <c r="F124" s="23"/>
      <c r="G124" s="13"/>
      <c r="H124" s="13"/>
      <c r="I124" s="216"/>
      <c r="J124" s="13"/>
      <c r="K124" s="13"/>
      <c r="L124" s="13"/>
      <c r="M124" s="13"/>
      <c r="N124" s="13"/>
      <c r="O124" s="13"/>
      <c r="P124" s="13"/>
      <c r="Q124" s="13"/>
      <c r="R124" s="13"/>
      <c r="S124" s="13"/>
      <c r="T124" s="13"/>
      <c r="U124" s="13"/>
      <c r="V124" s="143">
        <v>0.6</v>
      </c>
      <c r="W124" s="5">
        <v>0</v>
      </c>
      <c r="X124" s="5">
        <v>2</v>
      </c>
      <c r="Y124" s="23" t="s">
        <v>695</v>
      </c>
      <c r="Z124" s="6">
        <v>40551</v>
      </c>
    </row>
    <row r="125" spans="1:28" s="5" customFormat="1" ht="62.5" x14ac:dyDescent="0.25">
      <c r="A125" s="204"/>
      <c r="B125" s="23"/>
      <c r="C125" s="266">
        <v>40763</v>
      </c>
      <c r="D125" s="23" t="s">
        <v>601</v>
      </c>
      <c r="E125" s="23" t="s">
        <v>601</v>
      </c>
      <c r="F125" s="23"/>
      <c r="G125" s="13"/>
      <c r="H125" s="13"/>
      <c r="I125" s="216"/>
      <c r="J125" s="13"/>
      <c r="K125" s="13"/>
      <c r="L125" s="13"/>
      <c r="M125" s="13"/>
      <c r="N125" s="13"/>
      <c r="O125" s="13"/>
      <c r="P125" s="13"/>
      <c r="Q125" s="13"/>
      <c r="R125" s="13"/>
      <c r="S125" s="13"/>
      <c r="T125" s="13"/>
      <c r="U125" s="13"/>
      <c r="V125" s="143"/>
      <c r="W125" s="5">
        <v>0</v>
      </c>
      <c r="X125" s="5">
        <v>1</v>
      </c>
      <c r="Y125" s="23" t="s">
        <v>730</v>
      </c>
      <c r="Z125" s="6">
        <v>40764</v>
      </c>
    </row>
    <row r="126" spans="1:28" s="5" customFormat="1" ht="50" x14ac:dyDescent="0.25">
      <c r="A126" s="204"/>
      <c r="B126" s="23"/>
      <c r="C126" s="266">
        <v>40763</v>
      </c>
      <c r="D126" s="23" t="s">
        <v>205</v>
      </c>
      <c r="E126" s="23" t="s">
        <v>196</v>
      </c>
      <c r="F126" s="23"/>
      <c r="G126" s="13"/>
      <c r="H126" s="13"/>
      <c r="I126" s="216"/>
      <c r="J126" s="13"/>
      <c r="K126" s="13"/>
      <c r="L126" s="13"/>
      <c r="M126" s="13"/>
      <c r="N126" s="13"/>
      <c r="O126" s="13"/>
      <c r="P126" s="13"/>
      <c r="Q126" s="13"/>
      <c r="R126" s="13"/>
      <c r="S126" s="13"/>
      <c r="T126" s="13"/>
      <c r="U126" s="13"/>
      <c r="V126" s="143"/>
      <c r="W126" s="5">
        <v>0</v>
      </c>
      <c r="X126" s="5">
        <v>1</v>
      </c>
      <c r="Y126" s="23" t="s">
        <v>729</v>
      </c>
      <c r="Z126" s="6">
        <v>40764</v>
      </c>
    </row>
    <row r="127" spans="1:28" s="5" customFormat="1" ht="25" x14ac:dyDescent="0.25">
      <c r="A127" s="17"/>
      <c r="B127" s="205" t="s">
        <v>630</v>
      </c>
      <c r="C127" s="36"/>
      <c r="D127" s="23" t="s">
        <v>631</v>
      </c>
      <c r="E127" s="22"/>
      <c r="F127" s="22"/>
      <c r="G127" s="13"/>
      <c r="H127" s="13"/>
      <c r="I127" s="216"/>
      <c r="J127" s="13"/>
      <c r="K127" s="13"/>
      <c r="L127" s="13"/>
      <c r="M127" s="13"/>
      <c r="N127" s="13"/>
      <c r="O127" s="13"/>
      <c r="P127" s="13"/>
      <c r="Q127" s="13"/>
      <c r="R127" s="13"/>
      <c r="S127" s="13"/>
      <c r="T127" s="13"/>
      <c r="U127" s="13"/>
      <c r="V127" s="143"/>
      <c r="Y127" s="22"/>
      <c r="Z127" s="6"/>
    </row>
    <row r="128" spans="1:28" s="5" customFormat="1" ht="25" x14ac:dyDescent="0.25">
      <c r="A128" s="17"/>
      <c r="B128" s="205" t="s">
        <v>630</v>
      </c>
      <c r="C128" s="36"/>
      <c r="D128" s="23" t="s">
        <v>633</v>
      </c>
      <c r="E128" s="23" t="s">
        <v>198</v>
      </c>
      <c r="F128" s="23"/>
      <c r="G128" s="13"/>
      <c r="H128" s="13"/>
      <c r="I128" s="216"/>
      <c r="J128" s="13"/>
      <c r="K128" s="13"/>
      <c r="L128" s="13"/>
      <c r="M128" s="13"/>
      <c r="N128" s="13"/>
      <c r="O128" s="13"/>
      <c r="P128" s="13"/>
      <c r="Q128" s="13"/>
      <c r="R128" s="13"/>
      <c r="S128" s="13"/>
      <c r="T128" s="13"/>
      <c r="U128" s="13"/>
      <c r="V128" s="143"/>
      <c r="Y128" s="22"/>
      <c r="Z128" s="6"/>
    </row>
    <row r="129" spans="1:26" s="5" customFormat="1" ht="25" x14ac:dyDescent="0.25">
      <c r="A129" s="17"/>
      <c r="B129" s="205" t="s">
        <v>630</v>
      </c>
      <c r="C129" s="36"/>
      <c r="D129" s="23" t="s">
        <v>634</v>
      </c>
      <c r="E129" s="23" t="s">
        <v>635</v>
      </c>
      <c r="F129" s="23"/>
      <c r="G129" s="13"/>
      <c r="H129" s="13"/>
      <c r="I129" s="216"/>
      <c r="J129" s="13"/>
      <c r="K129" s="13"/>
      <c r="L129" s="13"/>
      <c r="M129" s="13"/>
      <c r="N129" s="13"/>
      <c r="O129" s="13"/>
      <c r="P129" s="13"/>
      <c r="Q129" s="13"/>
      <c r="R129" s="13"/>
      <c r="S129" s="13"/>
      <c r="T129" s="13"/>
      <c r="U129" s="13"/>
      <c r="V129" s="143"/>
      <c r="Y129" s="22"/>
      <c r="Z129" s="6"/>
    </row>
    <row r="130" spans="1:26" s="5" customFormat="1" x14ac:dyDescent="0.25">
      <c r="A130" s="17"/>
      <c r="B130" s="205"/>
      <c r="C130" s="36"/>
      <c r="D130" s="23"/>
      <c r="E130" s="23"/>
      <c r="F130" s="23"/>
      <c r="G130" s="13"/>
      <c r="H130" s="13"/>
      <c r="I130" s="216"/>
      <c r="J130" s="13"/>
      <c r="K130" s="13"/>
      <c r="L130" s="13"/>
      <c r="M130" s="13"/>
      <c r="N130" s="13"/>
      <c r="O130" s="13"/>
      <c r="P130" s="13"/>
      <c r="Q130" s="13"/>
      <c r="R130" s="13"/>
      <c r="S130" s="13"/>
      <c r="T130" s="13"/>
      <c r="U130" s="13"/>
      <c r="V130" s="143"/>
      <c r="Y130" s="22"/>
      <c r="Z130" s="6"/>
    </row>
    <row r="131" spans="1:26" s="5" customFormat="1" ht="25" x14ac:dyDescent="0.25">
      <c r="A131" s="17"/>
      <c r="B131" s="205" t="s">
        <v>630</v>
      </c>
      <c r="C131" s="36"/>
      <c r="D131" s="23" t="s">
        <v>181</v>
      </c>
      <c r="E131" s="23" t="s">
        <v>222</v>
      </c>
      <c r="F131" s="23"/>
      <c r="G131" s="13"/>
      <c r="H131" s="13"/>
      <c r="I131" s="216"/>
      <c r="J131" s="13"/>
      <c r="K131" s="13"/>
      <c r="L131" s="13"/>
      <c r="M131" s="13"/>
      <c r="N131" s="13"/>
      <c r="O131" s="13"/>
      <c r="P131" s="13"/>
      <c r="Q131" s="13"/>
      <c r="R131" s="13"/>
      <c r="S131" s="13"/>
      <c r="T131" s="13"/>
      <c r="U131" s="13"/>
      <c r="V131" s="143"/>
      <c r="Y131" s="22"/>
      <c r="Z131" s="6"/>
    </row>
    <row r="132" spans="1:26" s="5" customFormat="1" ht="25" x14ac:dyDescent="0.25">
      <c r="A132" s="17"/>
      <c r="B132" s="205" t="s">
        <v>630</v>
      </c>
      <c r="C132" s="36"/>
      <c r="D132" s="23" t="s">
        <v>636</v>
      </c>
      <c r="E132" s="23" t="s">
        <v>222</v>
      </c>
      <c r="F132" s="23"/>
      <c r="G132" s="13"/>
      <c r="H132" s="13"/>
      <c r="I132" s="216"/>
      <c r="J132" s="13"/>
      <c r="K132" s="13"/>
      <c r="L132" s="13"/>
      <c r="M132" s="13"/>
      <c r="N132" s="13"/>
      <c r="O132" s="13"/>
      <c r="P132" s="13"/>
      <c r="Q132" s="13"/>
      <c r="R132" s="13"/>
      <c r="S132" s="13"/>
      <c r="T132" s="13"/>
      <c r="U132" s="13"/>
      <c r="V132" s="143"/>
      <c r="Y132" s="22"/>
      <c r="Z132" s="6"/>
    </row>
    <row r="133" spans="1:26" s="5" customFormat="1" x14ac:dyDescent="0.25">
      <c r="A133" s="17"/>
      <c r="B133" s="22"/>
      <c r="C133" s="36"/>
      <c r="D133" s="22"/>
      <c r="E133" s="22"/>
      <c r="F133" s="22"/>
      <c r="G133" s="13"/>
      <c r="H133" s="13"/>
      <c r="I133" s="216"/>
      <c r="J133" s="13"/>
      <c r="K133" s="13"/>
      <c r="L133" s="13"/>
      <c r="M133" s="13"/>
      <c r="N133" s="13"/>
      <c r="O133" s="13"/>
      <c r="P133" s="13"/>
      <c r="Q133" s="13"/>
      <c r="R133" s="13"/>
      <c r="S133" s="13"/>
      <c r="T133" s="13"/>
      <c r="U133" s="13"/>
      <c r="V133" s="143"/>
      <c r="Y133" s="22"/>
      <c r="Z133" s="6"/>
    </row>
    <row r="134" spans="1:26" s="5" customFormat="1" x14ac:dyDescent="0.25">
      <c r="A134" s="17"/>
      <c r="B134" s="22"/>
      <c r="C134" s="36"/>
      <c r="D134" s="22"/>
      <c r="E134" s="22"/>
      <c r="F134" s="22"/>
      <c r="G134" s="13"/>
      <c r="H134" s="13"/>
      <c r="I134" s="216"/>
      <c r="J134" s="13"/>
      <c r="K134" s="13"/>
      <c r="L134" s="13"/>
      <c r="M134" s="13"/>
      <c r="N134" s="13"/>
      <c r="O134" s="13"/>
      <c r="P134" s="13"/>
      <c r="Q134" s="13"/>
      <c r="R134" s="13"/>
      <c r="S134" s="13"/>
      <c r="T134" s="13"/>
      <c r="U134" s="13"/>
      <c r="V134" s="143"/>
      <c r="Y134" s="22"/>
      <c r="Z134" s="6"/>
    </row>
    <row r="135" spans="1:26" s="5" customFormat="1" x14ac:dyDescent="0.25">
      <c r="A135" s="17"/>
      <c r="B135" s="22"/>
      <c r="C135" s="36"/>
      <c r="D135" s="22"/>
      <c r="E135" s="22"/>
      <c r="F135" s="22"/>
      <c r="G135" s="13"/>
      <c r="H135" s="13"/>
      <c r="I135" s="216"/>
      <c r="J135" s="13"/>
      <c r="K135" s="13"/>
      <c r="L135" s="13"/>
      <c r="M135" s="13"/>
      <c r="N135" s="13"/>
      <c r="O135" s="13"/>
      <c r="P135" s="13"/>
      <c r="Q135" s="13"/>
      <c r="R135" s="13"/>
      <c r="S135" s="13"/>
      <c r="T135" s="13"/>
      <c r="U135" s="13"/>
      <c r="V135" s="143"/>
      <c r="Y135" s="22"/>
      <c r="Z135" s="6"/>
    </row>
    <row r="136" spans="1:26" s="5" customFormat="1" x14ac:dyDescent="0.25">
      <c r="A136" s="17"/>
      <c r="B136" s="22"/>
      <c r="C136" s="36"/>
      <c r="D136" s="22"/>
      <c r="E136" s="22"/>
      <c r="F136" s="22"/>
      <c r="G136" s="13"/>
      <c r="H136" s="13"/>
      <c r="I136" s="216"/>
      <c r="J136" s="13"/>
      <c r="K136" s="13"/>
      <c r="L136" s="13"/>
      <c r="M136" s="13"/>
      <c r="N136" s="13"/>
      <c r="O136" s="13"/>
      <c r="P136" s="13"/>
      <c r="Q136" s="13"/>
      <c r="R136" s="13"/>
      <c r="S136" s="13"/>
      <c r="T136" s="13"/>
      <c r="U136" s="13"/>
      <c r="V136" s="143"/>
      <c r="Y136" s="22"/>
      <c r="Z136" s="6"/>
    </row>
    <row r="137" spans="1:26" s="5" customFormat="1" x14ac:dyDescent="0.25">
      <c r="A137" s="17"/>
      <c r="B137" s="22"/>
      <c r="C137" s="36"/>
      <c r="D137" s="22"/>
      <c r="E137" s="22"/>
      <c r="F137" s="22"/>
      <c r="G137" s="13"/>
      <c r="H137" s="13"/>
      <c r="I137" s="216"/>
      <c r="J137" s="13"/>
      <c r="K137" s="13"/>
      <c r="L137" s="13"/>
      <c r="M137" s="13"/>
      <c r="N137" s="13"/>
      <c r="O137" s="13"/>
      <c r="P137" s="13"/>
      <c r="Q137" s="13"/>
      <c r="R137" s="13"/>
      <c r="S137" s="13"/>
      <c r="T137" s="13"/>
      <c r="U137" s="13"/>
      <c r="V137" s="143"/>
      <c r="Y137" s="22"/>
      <c r="Z137" s="6"/>
    </row>
    <row r="138" spans="1:26" s="5" customFormat="1" x14ac:dyDescent="0.25">
      <c r="A138" s="17"/>
      <c r="B138" s="22"/>
      <c r="C138" s="36"/>
      <c r="D138" s="22"/>
      <c r="E138" s="22"/>
      <c r="F138" s="22"/>
      <c r="G138" s="13"/>
      <c r="H138" s="13"/>
      <c r="I138" s="216"/>
      <c r="J138" s="13"/>
      <c r="K138" s="13"/>
      <c r="L138" s="13"/>
      <c r="M138" s="13"/>
      <c r="N138" s="13"/>
      <c r="O138" s="13"/>
      <c r="P138" s="13"/>
      <c r="Q138" s="13"/>
      <c r="R138" s="13"/>
      <c r="S138" s="13"/>
      <c r="T138" s="13"/>
      <c r="U138" s="13"/>
      <c r="V138" s="143"/>
      <c r="Y138" s="22"/>
      <c r="Z138" s="6"/>
    </row>
    <row r="139" spans="1:26" s="5" customFormat="1" x14ac:dyDescent="0.25">
      <c r="A139" s="17"/>
      <c r="B139" s="22"/>
      <c r="C139" s="36"/>
      <c r="D139" s="22"/>
      <c r="E139" s="22"/>
      <c r="F139" s="22"/>
      <c r="G139" s="13"/>
      <c r="H139" s="13"/>
      <c r="I139" s="216"/>
      <c r="J139" s="13"/>
      <c r="K139" s="13"/>
      <c r="L139" s="13"/>
      <c r="M139" s="13"/>
      <c r="N139" s="13"/>
      <c r="O139" s="13"/>
      <c r="P139" s="13"/>
      <c r="Q139" s="13"/>
      <c r="R139" s="13"/>
      <c r="S139" s="13"/>
      <c r="T139" s="13"/>
      <c r="U139" s="13"/>
      <c r="V139" s="143"/>
      <c r="Y139" s="22"/>
      <c r="Z139" s="6"/>
    </row>
    <row r="140" spans="1:26" s="5" customFormat="1" x14ac:dyDescent="0.25">
      <c r="A140" s="17"/>
      <c r="B140" s="22"/>
      <c r="C140" s="36"/>
      <c r="D140" s="22"/>
      <c r="E140" s="22"/>
      <c r="F140" s="22"/>
      <c r="G140" s="13"/>
      <c r="H140" s="13"/>
      <c r="I140" s="216"/>
      <c r="J140" s="13"/>
      <c r="K140" s="13"/>
      <c r="L140" s="13"/>
      <c r="M140" s="13"/>
      <c r="N140" s="13"/>
      <c r="O140" s="13"/>
      <c r="P140" s="13"/>
      <c r="Q140" s="13"/>
      <c r="R140" s="13"/>
      <c r="S140" s="13"/>
      <c r="T140" s="13"/>
      <c r="U140" s="13"/>
      <c r="V140" s="143"/>
      <c r="Y140" s="22"/>
      <c r="Z140" s="6"/>
    </row>
    <row r="141" spans="1:26" s="5" customFormat="1" x14ac:dyDescent="0.25">
      <c r="A141" s="17"/>
      <c r="B141" s="22"/>
      <c r="C141" s="36"/>
      <c r="D141" s="22"/>
      <c r="E141" s="22"/>
      <c r="F141" s="22"/>
      <c r="G141" s="13"/>
      <c r="H141" s="13"/>
      <c r="I141" s="216"/>
      <c r="J141" s="13"/>
      <c r="K141" s="13"/>
      <c r="L141" s="13"/>
      <c r="M141" s="13"/>
      <c r="N141" s="13"/>
      <c r="O141" s="13"/>
      <c r="P141" s="13"/>
      <c r="Q141" s="13"/>
      <c r="R141" s="13"/>
      <c r="S141" s="13"/>
      <c r="T141" s="13"/>
      <c r="U141" s="13"/>
      <c r="V141" s="143"/>
      <c r="Y141" s="22"/>
      <c r="Z141" s="6"/>
    </row>
    <row r="142" spans="1:26" s="5" customFormat="1" x14ac:dyDescent="0.25">
      <c r="A142" s="17"/>
      <c r="B142" s="22"/>
      <c r="C142" s="36"/>
      <c r="D142" s="22"/>
      <c r="E142" s="22"/>
      <c r="F142" s="22"/>
      <c r="G142" s="13"/>
      <c r="H142" s="13"/>
      <c r="I142" s="216"/>
      <c r="J142" s="13"/>
      <c r="K142" s="13"/>
      <c r="L142" s="13"/>
      <c r="M142" s="13"/>
      <c r="N142" s="13"/>
      <c r="O142" s="13"/>
      <c r="P142" s="13"/>
      <c r="Q142" s="13"/>
      <c r="R142" s="13"/>
      <c r="S142" s="13"/>
      <c r="T142" s="13"/>
      <c r="U142" s="13"/>
      <c r="V142" s="143"/>
      <c r="Y142" s="22"/>
      <c r="Z142" s="6"/>
    </row>
    <row r="143" spans="1:26" s="5" customFormat="1" x14ac:dyDescent="0.25">
      <c r="A143" s="17"/>
      <c r="B143" s="22"/>
      <c r="C143" s="36"/>
      <c r="D143" s="22"/>
      <c r="E143" s="22"/>
      <c r="F143" s="22"/>
      <c r="G143" s="13"/>
      <c r="H143" s="13"/>
      <c r="I143" s="216"/>
      <c r="J143" s="13"/>
      <c r="K143" s="13"/>
      <c r="L143" s="13"/>
      <c r="M143" s="13"/>
      <c r="N143" s="13"/>
      <c r="O143" s="13"/>
      <c r="P143" s="13"/>
      <c r="Q143" s="13"/>
      <c r="R143" s="13"/>
      <c r="S143" s="13"/>
      <c r="T143" s="13"/>
      <c r="U143" s="13"/>
      <c r="V143" s="143"/>
      <c r="Y143" s="22"/>
      <c r="Z143" s="6"/>
    </row>
    <row r="144" spans="1:26" s="5" customFormat="1" x14ac:dyDescent="0.25">
      <c r="A144" s="17"/>
      <c r="B144" s="22"/>
      <c r="C144" s="36"/>
      <c r="D144" s="22"/>
      <c r="E144" s="22"/>
      <c r="F144" s="22"/>
      <c r="G144" s="13"/>
      <c r="H144" s="13"/>
      <c r="I144" s="216"/>
      <c r="J144" s="13"/>
      <c r="K144" s="13"/>
      <c r="L144" s="13"/>
      <c r="M144" s="13"/>
      <c r="N144" s="13"/>
      <c r="O144" s="13"/>
      <c r="P144" s="13"/>
      <c r="Q144" s="13"/>
      <c r="R144" s="13"/>
      <c r="S144" s="13"/>
      <c r="T144" s="13"/>
      <c r="U144" s="13"/>
      <c r="V144" s="143"/>
      <c r="Y144" s="22"/>
      <c r="Z144" s="6"/>
    </row>
    <row r="145" spans="1:26" s="5" customFormat="1" x14ac:dyDescent="0.25">
      <c r="A145" s="17"/>
      <c r="B145" s="22"/>
      <c r="C145" s="36"/>
      <c r="D145" s="22"/>
      <c r="E145" s="22"/>
      <c r="F145" s="22"/>
      <c r="G145" s="13"/>
      <c r="H145" s="13"/>
      <c r="I145" s="216"/>
      <c r="J145" s="13"/>
      <c r="K145" s="13"/>
      <c r="L145" s="13"/>
      <c r="M145" s="13"/>
      <c r="N145" s="13"/>
      <c r="O145" s="13"/>
      <c r="P145" s="13"/>
      <c r="Q145" s="13"/>
      <c r="R145" s="13"/>
      <c r="S145" s="13"/>
      <c r="T145" s="13"/>
      <c r="U145" s="13"/>
      <c r="V145" s="143"/>
      <c r="Y145" s="22"/>
      <c r="Z145" s="6"/>
    </row>
    <row r="146" spans="1:26" s="5" customFormat="1" x14ac:dyDescent="0.25">
      <c r="A146" s="17"/>
      <c r="B146" s="22"/>
      <c r="C146" s="36"/>
      <c r="D146" s="22"/>
      <c r="E146" s="22"/>
      <c r="F146" s="22"/>
      <c r="G146" s="13"/>
      <c r="H146" s="13"/>
      <c r="I146" s="216"/>
      <c r="J146" s="13"/>
      <c r="K146" s="13"/>
      <c r="L146" s="13"/>
      <c r="M146" s="13"/>
      <c r="N146" s="13"/>
      <c r="O146" s="13"/>
      <c r="P146" s="13"/>
      <c r="Q146" s="13"/>
      <c r="R146" s="13"/>
      <c r="S146" s="13"/>
      <c r="T146" s="13"/>
      <c r="U146" s="13"/>
      <c r="V146" s="143"/>
      <c r="Y146" s="22"/>
      <c r="Z146" s="6"/>
    </row>
    <row r="147" spans="1:26" s="5" customFormat="1" x14ac:dyDescent="0.25">
      <c r="A147" s="17"/>
      <c r="B147" s="22"/>
      <c r="C147" s="36"/>
      <c r="D147" s="22"/>
      <c r="E147" s="22"/>
      <c r="F147" s="22"/>
      <c r="G147" s="13"/>
      <c r="H147" s="13"/>
      <c r="I147" s="216"/>
      <c r="J147" s="13"/>
      <c r="K147" s="13"/>
      <c r="L147" s="13"/>
      <c r="M147" s="13"/>
      <c r="N147" s="13"/>
      <c r="O147" s="13"/>
      <c r="P147" s="13"/>
      <c r="Q147" s="13"/>
      <c r="R147" s="13"/>
      <c r="S147" s="13"/>
      <c r="T147" s="13"/>
      <c r="U147" s="13"/>
      <c r="V147" s="143"/>
      <c r="Y147" s="22"/>
      <c r="Z147" s="6"/>
    </row>
    <row r="148" spans="1:26" s="5" customFormat="1" x14ac:dyDescent="0.25">
      <c r="A148" s="17"/>
      <c r="B148" s="22"/>
      <c r="C148" s="36"/>
      <c r="D148" s="22"/>
      <c r="E148" s="22"/>
      <c r="F148" s="22"/>
      <c r="G148" s="13"/>
      <c r="H148" s="13"/>
      <c r="I148" s="216"/>
      <c r="J148" s="13"/>
      <c r="K148" s="13"/>
      <c r="L148" s="13"/>
      <c r="M148" s="13"/>
      <c r="N148" s="13"/>
      <c r="O148" s="13"/>
      <c r="P148" s="13"/>
      <c r="Q148" s="13"/>
      <c r="R148" s="13"/>
      <c r="S148" s="13"/>
      <c r="T148" s="13"/>
      <c r="U148" s="13"/>
      <c r="V148" s="143"/>
      <c r="Y148" s="22"/>
      <c r="Z148" s="6"/>
    </row>
    <row r="149" spans="1:26" s="5" customFormat="1" x14ac:dyDescent="0.25">
      <c r="A149" s="17"/>
      <c r="B149" s="22"/>
      <c r="C149" s="36"/>
      <c r="D149" s="22"/>
      <c r="E149" s="22"/>
      <c r="F149" s="22"/>
      <c r="G149" s="13"/>
      <c r="H149" s="13"/>
      <c r="I149" s="216"/>
      <c r="J149" s="13"/>
      <c r="K149" s="13"/>
      <c r="L149" s="13"/>
      <c r="M149" s="13"/>
      <c r="N149" s="13"/>
      <c r="O149" s="13"/>
      <c r="P149" s="13"/>
      <c r="Q149" s="13"/>
      <c r="R149" s="13"/>
      <c r="S149" s="13"/>
      <c r="T149" s="13"/>
      <c r="U149" s="13"/>
      <c r="V149" s="143"/>
      <c r="Y149" s="22"/>
      <c r="Z149" s="6"/>
    </row>
    <row r="150" spans="1:26" s="5" customFormat="1" x14ac:dyDescent="0.25">
      <c r="A150" s="17"/>
      <c r="B150" s="22"/>
      <c r="C150" s="36"/>
      <c r="D150" s="22"/>
      <c r="E150" s="22"/>
      <c r="F150" s="22"/>
      <c r="G150" s="13"/>
      <c r="H150" s="13"/>
      <c r="I150" s="216"/>
      <c r="J150" s="13"/>
      <c r="K150" s="13"/>
      <c r="L150" s="13"/>
      <c r="M150" s="13"/>
      <c r="N150" s="13"/>
      <c r="O150" s="13"/>
      <c r="P150" s="13"/>
      <c r="Q150" s="13"/>
      <c r="R150" s="13"/>
      <c r="S150" s="13"/>
      <c r="T150" s="13"/>
      <c r="U150" s="13"/>
      <c r="V150" s="143"/>
      <c r="Y150" s="22"/>
      <c r="Z150" s="6"/>
    </row>
    <row r="151" spans="1:26" s="5" customFormat="1" x14ac:dyDescent="0.25">
      <c r="A151" s="17"/>
      <c r="B151" s="22"/>
      <c r="C151" s="36"/>
      <c r="D151" s="22"/>
      <c r="E151" s="22"/>
      <c r="F151" s="22"/>
      <c r="G151" s="13"/>
      <c r="H151" s="13"/>
      <c r="I151" s="216"/>
      <c r="J151" s="13"/>
      <c r="K151" s="13"/>
      <c r="L151" s="13"/>
      <c r="M151" s="13"/>
      <c r="N151" s="13"/>
      <c r="O151" s="13"/>
      <c r="P151" s="13"/>
      <c r="Q151" s="13"/>
      <c r="R151" s="13"/>
      <c r="S151" s="13"/>
      <c r="T151" s="13"/>
      <c r="U151" s="13"/>
      <c r="V151" s="143"/>
      <c r="Y151" s="22"/>
      <c r="Z151" s="6"/>
    </row>
    <row r="152" spans="1:26" s="5" customFormat="1" x14ac:dyDescent="0.25">
      <c r="A152" s="17"/>
      <c r="B152" s="22"/>
      <c r="C152" s="36"/>
      <c r="D152" s="22"/>
      <c r="E152" s="22"/>
      <c r="F152" s="22"/>
      <c r="G152" s="13"/>
      <c r="H152" s="13"/>
      <c r="I152" s="216"/>
      <c r="J152" s="13"/>
      <c r="K152" s="13"/>
      <c r="L152" s="13"/>
      <c r="M152" s="13"/>
      <c r="N152" s="13"/>
      <c r="O152" s="13"/>
      <c r="P152" s="13"/>
      <c r="Q152" s="13"/>
      <c r="R152" s="13"/>
      <c r="S152" s="13"/>
      <c r="T152" s="13"/>
      <c r="U152" s="13"/>
      <c r="V152" s="143"/>
      <c r="Y152" s="22"/>
      <c r="Z152" s="6"/>
    </row>
    <row r="153" spans="1:26" s="5" customFormat="1" x14ac:dyDescent="0.25">
      <c r="A153" s="17"/>
      <c r="B153" s="22"/>
      <c r="C153" s="36"/>
      <c r="D153" s="22"/>
      <c r="E153" s="22"/>
      <c r="F153" s="22"/>
      <c r="G153" s="13"/>
      <c r="H153" s="13"/>
      <c r="I153" s="216"/>
      <c r="J153" s="13"/>
      <c r="K153" s="13"/>
      <c r="L153" s="13"/>
      <c r="M153" s="13"/>
      <c r="N153" s="13"/>
      <c r="O153" s="13"/>
      <c r="P153" s="13"/>
      <c r="Q153" s="13"/>
      <c r="R153" s="13"/>
      <c r="S153" s="13"/>
      <c r="T153" s="13"/>
      <c r="U153" s="13"/>
      <c r="V153" s="143"/>
      <c r="Y153" s="22"/>
      <c r="Z153" s="6"/>
    </row>
    <row r="154" spans="1:26" s="5" customFormat="1" x14ac:dyDescent="0.25">
      <c r="A154" s="17"/>
      <c r="B154" s="22"/>
      <c r="C154" s="36"/>
      <c r="D154" s="22"/>
      <c r="E154" s="22"/>
      <c r="F154" s="22"/>
      <c r="G154" s="13"/>
      <c r="H154" s="13"/>
      <c r="I154" s="216"/>
      <c r="J154" s="13"/>
      <c r="K154" s="13"/>
      <c r="L154" s="13"/>
      <c r="M154" s="13"/>
      <c r="N154" s="13"/>
      <c r="O154" s="13"/>
      <c r="P154" s="13"/>
      <c r="Q154" s="13"/>
      <c r="R154" s="13"/>
      <c r="S154" s="13"/>
      <c r="T154" s="13"/>
      <c r="U154" s="13"/>
      <c r="V154" s="143"/>
      <c r="Y154" s="22"/>
      <c r="Z154" s="6"/>
    </row>
    <row r="155" spans="1:26" s="5" customFormat="1" x14ac:dyDescent="0.25">
      <c r="A155" s="17"/>
      <c r="B155" s="22"/>
      <c r="C155" s="36"/>
      <c r="D155" s="22"/>
      <c r="E155" s="22"/>
      <c r="F155" s="22"/>
      <c r="G155" s="13"/>
      <c r="H155" s="13"/>
      <c r="I155" s="216"/>
      <c r="J155" s="13"/>
      <c r="K155" s="13"/>
      <c r="L155" s="13"/>
      <c r="M155" s="13"/>
      <c r="N155" s="13"/>
      <c r="O155" s="13"/>
      <c r="P155" s="13"/>
      <c r="Q155" s="13"/>
      <c r="R155" s="13"/>
      <c r="S155" s="13"/>
      <c r="T155" s="13"/>
      <c r="U155" s="13"/>
      <c r="V155" s="143"/>
      <c r="Y155" s="22"/>
      <c r="Z155" s="6"/>
    </row>
    <row r="156" spans="1:26" s="5" customFormat="1" x14ac:dyDescent="0.25">
      <c r="A156" s="17"/>
      <c r="B156" s="22"/>
      <c r="C156" s="36"/>
      <c r="D156" s="22"/>
      <c r="E156" s="22"/>
      <c r="F156" s="22"/>
      <c r="G156" s="13"/>
      <c r="H156" s="13"/>
      <c r="I156" s="216"/>
      <c r="J156" s="13"/>
      <c r="K156" s="13"/>
      <c r="L156" s="13"/>
      <c r="M156" s="13"/>
      <c r="N156" s="13"/>
      <c r="O156" s="13"/>
      <c r="P156" s="13"/>
      <c r="Q156" s="13"/>
      <c r="R156" s="13"/>
      <c r="S156" s="13"/>
      <c r="T156" s="13"/>
      <c r="U156" s="13"/>
      <c r="V156" s="143"/>
      <c r="Y156" s="22"/>
      <c r="Z156" s="6"/>
    </row>
    <row r="157" spans="1:26" s="5" customFormat="1" x14ac:dyDescent="0.25">
      <c r="A157" s="17"/>
      <c r="B157" s="22"/>
      <c r="C157" s="36"/>
      <c r="D157" s="22"/>
      <c r="E157" s="22"/>
      <c r="F157" s="22"/>
      <c r="G157" s="13"/>
      <c r="H157" s="13"/>
      <c r="I157" s="216"/>
      <c r="J157" s="13"/>
      <c r="K157" s="13"/>
      <c r="L157" s="13"/>
      <c r="M157" s="13"/>
      <c r="N157" s="13"/>
      <c r="O157" s="13"/>
      <c r="P157" s="13"/>
      <c r="Q157" s="13"/>
      <c r="R157" s="13"/>
      <c r="S157" s="13"/>
      <c r="T157" s="13"/>
      <c r="U157" s="13"/>
      <c r="V157" s="143"/>
      <c r="Y157" s="22"/>
      <c r="Z157" s="6"/>
    </row>
    <row r="158" spans="1:26" s="5" customFormat="1" x14ac:dyDescent="0.25">
      <c r="A158" s="17"/>
      <c r="B158" s="22"/>
      <c r="C158" s="36"/>
      <c r="D158" s="22"/>
      <c r="E158" s="22"/>
      <c r="F158" s="22"/>
      <c r="G158" s="13"/>
      <c r="H158" s="13"/>
      <c r="I158" s="216"/>
      <c r="J158" s="13"/>
      <c r="K158" s="13"/>
      <c r="L158" s="13"/>
      <c r="M158" s="13"/>
      <c r="N158" s="13"/>
      <c r="O158" s="13"/>
      <c r="P158" s="13"/>
      <c r="Q158" s="13"/>
      <c r="R158" s="13"/>
      <c r="S158" s="13"/>
      <c r="T158" s="13"/>
      <c r="U158" s="13"/>
      <c r="V158" s="143"/>
      <c r="Y158" s="22"/>
      <c r="Z158" s="6"/>
    </row>
    <row r="159" spans="1:26" s="5" customFormat="1" x14ac:dyDescent="0.25">
      <c r="A159" s="17"/>
      <c r="B159" s="22"/>
      <c r="C159" s="36"/>
      <c r="D159" s="22"/>
      <c r="E159" s="22"/>
      <c r="F159" s="22"/>
      <c r="G159" s="13"/>
      <c r="H159" s="13"/>
      <c r="I159" s="216"/>
      <c r="J159" s="13"/>
      <c r="K159" s="13"/>
      <c r="L159" s="13"/>
      <c r="M159" s="13"/>
      <c r="N159" s="13"/>
      <c r="O159" s="13"/>
      <c r="P159" s="13"/>
      <c r="Q159" s="13"/>
      <c r="R159" s="13"/>
      <c r="S159" s="13"/>
      <c r="T159" s="13"/>
      <c r="U159" s="13"/>
      <c r="V159" s="143"/>
      <c r="Y159" s="22"/>
      <c r="Z159" s="6"/>
    </row>
    <row r="160" spans="1:26" s="5" customFormat="1" x14ac:dyDescent="0.25">
      <c r="A160" s="17"/>
      <c r="B160" s="22"/>
      <c r="C160" s="36"/>
      <c r="D160" s="22"/>
      <c r="E160" s="22"/>
      <c r="F160" s="22"/>
      <c r="G160" s="13"/>
      <c r="H160" s="13"/>
      <c r="I160" s="216"/>
      <c r="J160" s="13"/>
      <c r="K160" s="13"/>
      <c r="L160" s="13"/>
      <c r="M160" s="13"/>
      <c r="N160" s="13"/>
      <c r="O160" s="13"/>
      <c r="P160" s="13"/>
      <c r="Q160" s="13"/>
      <c r="R160" s="13"/>
      <c r="S160" s="13"/>
      <c r="T160" s="13"/>
      <c r="U160" s="13"/>
      <c r="V160" s="143"/>
      <c r="Y160" s="22"/>
      <c r="Z160" s="6"/>
    </row>
    <row r="161" spans="1:26" s="5" customFormat="1" x14ac:dyDescent="0.25">
      <c r="A161" s="17"/>
      <c r="B161" s="22"/>
      <c r="C161" s="36"/>
      <c r="D161" s="22"/>
      <c r="E161" s="22"/>
      <c r="F161" s="22"/>
      <c r="G161" s="13"/>
      <c r="H161" s="13"/>
      <c r="I161" s="216"/>
      <c r="J161" s="13"/>
      <c r="K161" s="13"/>
      <c r="L161" s="13"/>
      <c r="M161" s="13"/>
      <c r="N161" s="13"/>
      <c r="O161" s="13"/>
      <c r="P161" s="13"/>
      <c r="Q161" s="13"/>
      <c r="R161" s="13"/>
      <c r="S161" s="13"/>
      <c r="T161" s="13"/>
      <c r="U161" s="13"/>
      <c r="V161" s="143"/>
      <c r="Y161" s="22"/>
      <c r="Z161" s="6"/>
    </row>
    <row r="162" spans="1:26" s="5" customFormat="1" x14ac:dyDescent="0.25">
      <c r="A162" s="17"/>
      <c r="B162" s="22"/>
      <c r="C162" s="36"/>
      <c r="D162" s="22"/>
      <c r="E162" s="22"/>
      <c r="F162" s="22"/>
      <c r="G162" s="13"/>
      <c r="H162" s="13"/>
      <c r="I162" s="216"/>
      <c r="J162" s="13"/>
      <c r="K162" s="13"/>
      <c r="L162" s="13"/>
      <c r="M162" s="13"/>
      <c r="N162" s="13"/>
      <c r="O162" s="13"/>
      <c r="P162" s="13"/>
      <c r="Q162" s="13"/>
      <c r="R162" s="13"/>
      <c r="S162" s="13"/>
      <c r="T162" s="13"/>
      <c r="U162" s="13"/>
      <c r="V162" s="143"/>
      <c r="Y162" s="22"/>
      <c r="Z162" s="6"/>
    </row>
    <row r="163" spans="1:26" s="5" customFormat="1" x14ac:dyDescent="0.25">
      <c r="A163" s="17"/>
      <c r="B163" s="22"/>
      <c r="C163" s="36"/>
      <c r="D163" s="22"/>
      <c r="E163" s="22"/>
      <c r="F163" s="22"/>
      <c r="G163" s="13"/>
      <c r="H163" s="13"/>
      <c r="I163" s="216"/>
      <c r="J163" s="13"/>
      <c r="K163" s="13"/>
      <c r="L163" s="13"/>
      <c r="M163" s="13"/>
      <c r="N163" s="13"/>
      <c r="O163" s="13"/>
      <c r="P163" s="13"/>
      <c r="Q163" s="13"/>
      <c r="R163" s="13"/>
      <c r="S163" s="13"/>
      <c r="T163" s="13"/>
      <c r="U163" s="13"/>
      <c r="V163" s="143"/>
      <c r="Y163" s="22"/>
      <c r="Z163" s="6"/>
    </row>
    <row r="164" spans="1:26" s="5" customFormat="1" x14ac:dyDescent="0.25">
      <c r="A164" s="17"/>
      <c r="B164" s="22"/>
      <c r="C164" s="36"/>
      <c r="D164" s="22"/>
      <c r="E164" s="22"/>
      <c r="F164" s="22"/>
      <c r="G164" s="13"/>
      <c r="H164" s="13"/>
      <c r="I164" s="216"/>
      <c r="J164" s="13"/>
      <c r="K164" s="13"/>
      <c r="L164" s="13"/>
      <c r="M164" s="13"/>
      <c r="N164" s="13"/>
      <c r="O164" s="13"/>
      <c r="P164" s="13"/>
      <c r="Q164" s="13"/>
      <c r="R164" s="13"/>
      <c r="S164" s="13"/>
      <c r="T164" s="13"/>
      <c r="U164" s="13"/>
      <c r="V164" s="143"/>
      <c r="Y164" s="22"/>
      <c r="Z164" s="6"/>
    </row>
    <row r="165" spans="1:26" s="5" customFormat="1" x14ac:dyDescent="0.25">
      <c r="A165" s="17"/>
      <c r="B165" s="22"/>
      <c r="C165" s="36"/>
      <c r="D165" s="22"/>
      <c r="E165" s="22"/>
      <c r="F165" s="22"/>
      <c r="G165" s="13"/>
      <c r="H165" s="13"/>
      <c r="I165" s="216"/>
      <c r="J165" s="13"/>
      <c r="K165" s="13"/>
      <c r="L165" s="13"/>
      <c r="M165" s="13"/>
      <c r="N165" s="13"/>
      <c r="O165" s="13"/>
      <c r="P165" s="13"/>
      <c r="Q165" s="13"/>
      <c r="R165" s="13"/>
      <c r="S165" s="13"/>
      <c r="T165" s="13"/>
      <c r="U165" s="13"/>
      <c r="V165" s="143"/>
      <c r="Y165" s="22"/>
      <c r="Z165" s="6"/>
    </row>
    <row r="166" spans="1:26" s="5" customFormat="1" x14ac:dyDescent="0.25">
      <c r="A166" s="17"/>
      <c r="B166" s="22"/>
      <c r="C166" s="36"/>
      <c r="D166" s="22"/>
      <c r="E166" s="22"/>
      <c r="F166" s="22"/>
      <c r="G166" s="13"/>
      <c r="H166" s="13"/>
      <c r="I166" s="216"/>
      <c r="J166" s="13"/>
      <c r="K166" s="13"/>
      <c r="L166" s="13"/>
      <c r="M166" s="13"/>
      <c r="N166" s="13"/>
      <c r="O166" s="13"/>
      <c r="P166" s="13"/>
      <c r="Q166" s="13"/>
      <c r="R166" s="13"/>
      <c r="S166" s="13"/>
      <c r="T166" s="13"/>
      <c r="U166" s="13"/>
      <c r="V166" s="143"/>
      <c r="Y166" s="22"/>
      <c r="Z166" s="6"/>
    </row>
    <row r="167" spans="1:26" s="5" customFormat="1" x14ac:dyDescent="0.25">
      <c r="A167" s="17"/>
      <c r="B167" s="22"/>
      <c r="C167" s="36"/>
      <c r="D167" s="22"/>
      <c r="E167" s="22"/>
      <c r="F167" s="22"/>
      <c r="G167" s="13"/>
      <c r="H167" s="13"/>
      <c r="I167" s="216"/>
      <c r="J167" s="13"/>
      <c r="K167" s="13"/>
      <c r="L167" s="13"/>
      <c r="M167" s="13"/>
      <c r="N167" s="13"/>
      <c r="O167" s="13"/>
      <c r="P167" s="13"/>
      <c r="Q167" s="13"/>
      <c r="R167" s="13"/>
      <c r="S167" s="13"/>
      <c r="T167" s="13"/>
      <c r="U167" s="13"/>
      <c r="V167" s="143"/>
      <c r="Y167" s="22"/>
      <c r="Z167" s="6"/>
    </row>
  </sheetData>
  <autoFilter ref="A1:AB129" xr:uid="{00000000-0009-0000-0000-000002000000}"/>
  <printOptions gridLines="1"/>
  <pageMargins left="0.75" right="0.75" top="1" bottom="1" header="0.5" footer="0.5"/>
  <pageSetup scale="19" orientation="landscape" r:id="rId1"/>
  <headerFooter alignWithMargins="0">
    <oddHeader>&amp;L&amp;D&amp;C&amp;F - &amp;A&amp;R&amp;T</oddHeader>
    <oddFooter>Page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O133"/>
  <sheetViews>
    <sheetView zoomScale="85" workbookViewId="0">
      <pane xSplit="2" ySplit="1" topLeftCell="C22" activePane="bottomRight" state="frozenSplit"/>
      <selection pane="topRight" activeCell="D1" sqref="D1"/>
      <selection pane="bottomLeft" activeCell="A105" sqref="A105"/>
      <selection pane="bottomRight" activeCell="B27" sqref="B27"/>
    </sheetView>
  </sheetViews>
  <sheetFormatPr defaultColWidth="9.1796875" defaultRowHeight="12.5" x14ac:dyDescent="0.25"/>
  <cols>
    <col min="1" max="1" width="8.54296875" style="89" customWidth="1"/>
    <col min="2" max="2" width="17.7265625" style="71" customWidth="1"/>
    <col min="3" max="3" width="7.453125" style="115" customWidth="1"/>
    <col min="4" max="6" width="6.54296875" style="90" customWidth="1"/>
    <col min="7" max="7" width="5.54296875" style="90" customWidth="1"/>
    <col min="8" max="8" width="5.453125" style="90" customWidth="1"/>
    <col min="9" max="9" width="4.81640625" style="91" customWidth="1"/>
    <col min="10" max="10" width="2.7265625" style="92" customWidth="1"/>
    <col min="11" max="11" width="2.81640625" style="92" customWidth="1"/>
    <col min="12" max="12" width="40.7265625" style="89" customWidth="1"/>
    <col min="13" max="13" width="12.453125" style="93" bestFit="1" customWidth="1"/>
    <col min="14" max="16384" width="9.1796875" style="1"/>
  </cols>
  <sheetData>
    <row r="1" spans="1:15" s="12" customFormat="1" ht="54.75" customHeight="1" x14ac:dyDescent="0.3">
      <c r="A1" s="98" t="s">
        <v>233</v>
      </c>
      <c r="B1" s="99" t="s">
        <v>242</v>
      </c>
      <c r="C1" s="111" t="s">
        <v>459</v>
      </c>
      <c r="D1" s="100" t="s">
        <v>461</v>
      </c>
      <c r="E1" s="100" t="s">
        <v>460</v>
      </c>
      <c r="F1" s="100" t="s">
        <v>448</v>
      </c>
      <c r="G1" s="100" t="s">
        <v>135</v>
      </c>
      <c r="H1" s="100" t="s">
        <v>131</v>
      </c>
      <c r="I1" s="101" t="s">
        <v>132</v>
      </c>
      <c r="J1" s="102" t="s">
        <v>12</v>
      </c>
      <c r="K1" s="102" t="s">
        <v>156</v>
      </c>
      <c r="L1" s="103" t="s">
        <v>155</v>
      </c>
      <c r="M1" s="104" t="s">
        <v>157</v>
      </c>
      <c r="N1" s="7">
        <f>SUM(J66:J82)</f>
        <v>0</v>
      </c>
      <c r="O1" s="7">
        <f>SUM(K3:K82)</f>
        <v>62</v>
      </c>
    </row>
    <row r="2" spans="1:15" s="109" customFormat="1" ht="125" x14ac:dyDescent="0.25">
      <c r="A2" s="105"/>
      <c r="B2" s="106">
        <v>28138.010416666668</v>
      </c>
      <c r="C2" s="112">
        <v>0.56799999999999995</v>
      </c>
      <c r="D2" s="107">
        <v>21.55</v>
      </c>
      <c r="E2" s="18">
        <f>D2*0.211</f>
        <v>4.5470499999999996</v>
      </c>
      <c r="F2" s="18">
        <v>-4.0999999999999996</v>
      </c>
      <c r="G2" s="18">
        <f>-LOG((1/(E2*D2))*(2.511^(-F2)))/LOG(2.511)</f>
        <v>0.87985088030671632</v>
      </c>
      <c r="H2" s="107">
        <v>20</v>
      </c>
      <c r="I2" s="108"/>
      <c r="J2" s="109">
        <v>0</v>
      </c>
      <c r="K2" s="109">
        <v>5</v>
      </c>
      <c r="L2" s="14" t="s">
        <v>464</v>
      </c>
      <c r="M2" s="110">
        <v>40042</v>
      </c>
    </row>
    <row r="3" spans="1:15" s="12" customFormat="1" ht="75" x14ac:dyDescent="0.3">
      <c r="A3" s="22"/>
      <c r="B3" s="36">
        <v>28148.045138888891</v>
      </c>
      <c r="C3" s="113">
        <v>0.52</v>
      </c>
      <c r="D3" s="18">
        <v>23.83</v>
      </c>
      <c r="E3" s="18">
        <f>D3*0.211</f>
        <v>5.0281299999999991</v>
      </c>
      <c r="F3" s="18">
        <v>-4.4000000000000004</v>
      </c>
      <c r="G3" s="18">
        <f>-LOG((1/(E3*D3))*(2.511^(-F3)))/LOG(2.511)</f>
        <v>0.79831844030421029</v>
      </c>
      <c r="H3" s="18">
        <v>15</v>
      </c>
      <c r="I3" s="27"/>
      <c r="J3" s="17">
        <v>0</v>
      </c>
      <c r="K3" s="17">
        <v>2</v>
      </c>
      <c r="L3" s="14" t="s">
        <v>465</v>
      </c>
      <c r="M3" s="25">
        <v>40042</v>
      </c>
      <c r="N3" s="5"/>
      <c r="O3" s="5"/>
    </row>
    <row r="4" spans="1:15" s="12" customFormat="1" ht="100" x14ac:dyDescent="0.3">
      <c r="A4" s="22"/>
      <c r="B4" s="36">
        <v>28195.069444444445</v>
      </c>
      <c r="C4" s="113">
        <v>0.186</v>
      </c>
      <c r="D4" s="18">
        <v>45.17</v>
      </c>
      <c r="E4" s="18">
        <f>D4*0.211</f>
        <v>9.5308700000000002</v>
      </c>
      <c r="F4" s="18">
        <v>-4.5999999999999996</v>
      </c>
      <c r="G4" s="18">
        <f>-LOG((1/(E4*D4))*(2.511^(-F4)))/LOG(2.511)</f>
        <v>1.9874810337920652</v>
      </c>
      <c r="H4" s="18">
        <v>15</v>
      </c>
      <c r="I4" s="27"/>
      <c r="J4" s="17">
        <v>0</v>
      </c>
      <c r="K4" s="17">
        <v>4</v>
      </c>
      <c r="L4" s="14" t="s">
        <v>466</v>
      </c>
      <c r="M4" s="25">
        <v>40042</v>
      </c>
      <c r="N4" s="5"/>
      <c r="O4" s="5"/>
    </row>
    <row r="5" spans="1:15" s="12" customFormat="1" ht="100" x14ac:dyDescent="0.3">
      <c r="A5" s="22"/>
      <c r="B5" s="36">
        <v>28207.02986111111</v>
      </c>
      <c r="C5" s="113">
        <v>0.186</v>
      </c>
      <c r="D5" s="18">
        <v>45.17</v>
      </c>
      <c r="E5" s="18">
        <f>D5*0.211</f>
        <v>9.5308700000000002</v>
      </c>
      <c r="F5" s="18">
        <v>-4.5999999999999996</v>
      </c>
      <c r="G5" s="18">
        <f>-LOG((1/(E5*D5))*(2.511^(-F5)))/LOG(2.511)</f>
        <v>1.9874810337920652</v>
      </c>
      <c r="H5" s="18">
        <v>15</v>
      </c>
      <c r="I5" s="27"/>
      <c r="J5" s="17">
        <v>0</v>
      </c>
      <c r="K5" s="17">
        <v>3</v>
      </c>
      <c r="L5" s="14" t="s">
        <v>467</v>
      </c>
      <c r="M5" s="25">
        <v>40042</v>
      </c>
      <c r="N5" s="5"/>
      <c r="O5" s="5"/>
    </row>
    <row r="6" spans="1:15" s="12" customFormat="1" ht="13" x14ac:dyDescent="0.3">
      <c r="A6" s="22"/>
      <c r="B6" s="36">
        <v>30137.385416666668</v>
      </c>
      <c r="C6" s="113"/>
      <c r="D6" s="18"/>
      <c r="E6" s="18"/>
      <c r="F6" s="18"/>
      <c r="G6" s="18"/>
      <c r="H6" s="18"/>
      <c r="I6" s="27"/>
      <c r="J6" s="17"/>
      <c r="K6" s="17"/>
      <c r="L6" s="14"/>
      <c r="M6" s="25"/>
      <c r="N6" s="5"/>
      <c r="O6" s="5"/>
    </row>
    <row r="7" spans="1:15" s="12" customFormat="1" ht="13" x14ac:dyDescent="0.3">
      <c r="A7" s="22"/>
      <c r="B7" s="36">
        <v>34022.043749999997</v>
      </c>
      <c r="C7" s="113"/>
      <c r="D7" s="18"/>
      <c r="E7" s="18"/>
      <c r="F7" s="18"/>
      <c r="G7" s="18"/>
      <c r="H7" s="18"/>
      <c r="I7" s="27"/>
      <c r="J7" s="17"/>
      <c r="K7" s="17"/>
      <c r="L7" s="14"/>
      <c r="M7" s="25"/>
      <c r="N7" s="5"/>
      <c r="O7" s="5"/>
    </row>
    <row r="8" spans="1:15" s="12" customFormat="1" ht="13" x14ac:dyDescent="0.3">
      <c r="A8" s="22"/>
      <c r="B8" s="36">
        <v>34530.097222222219</v>
      </c>
      <c r="C8" s="113"/>
      <c r="D8" s="18"/>
      <c r="E8" s="18"/>
      <c r="F8" s="18"/>
      <c r="G8" s="18"/>
      <c r="H8" s="18"/>
      <c r="I8" s="27"/>
      <c r="J8" s="17"/>
      <c r="K8" s="17"/>
      <c r="L8" s="14"/>
      <c r="M8" s="25"/>
      <c r="N8" s="5"/>
      <c r="O8" s="5"/>
    </row>
    <row r="9" spans="1:15" s="12" customFormat="1" ht="13" x14ac:dyDescent="0.3">
      <c r="A9" s="22"/>
      <c r="B9" s="36">
        <v>34534.097222222219</v>
      </c>
      <c r="C9" s="113"/>
      <c r="D9" s="18"/>
      <c r="E9" s="18"/>
      <c r="F9" s="18"/>
      <c r="G9" s="18"/>
      <c r="H9" s="18"/>
      <c r="I9" s="27"/>
      <c r="J9" s="17"/>
      <c r="K9" s="17"/>
      <c r="L9" s="14"/>
      <c r="M9" s="25"/>
      <c r="N9" s="5"/>
      <c r="O9" s="5"/>
    </row>
    <row r="10" spans="1:15" s="12" customFormat="1" ht="13" x14ac:dyDescent="0.3">
      <c r="A10" s="22"/>
      <c r="B10" s="36">
        <v>35246.541666666664</v>
      </c>
      <c r="C10" s="113"/>
      <c r="D10" s="18"/>
      <c r="E10" s="18"/>
      <c r="F10" s="18"/>
      <c r="G10" s="18"/>
      <c r="H10" s="18"/>
      <c r="I10" s="27"/>
      <c r="J10" s="17"/>
      <c r="K10" s="17"/>
      <c r="L10" s="14"/>
      <c r="M10" s="25"/>
      <c r="N10" s="5"/>
      <c r="O10" s="5"/>
    </row>
    <row r="11" spans="1:15" s="12" customFormat="1" ht="50" x14ac:dyDescent="0.3">
      <c r="A11" s="22"/>
      <c r="B11" s="36" t="s">
        <v>428</v>
      </c>
      <c r="C11" s="113">
        <v>0.40200000000000002</v>
      </c>
      <c r="D11" s="18">
        <v>30.9</v>
      </c>
      <c r="E11" s="18">
        <f>D11*0.4</f>
        <v>12.36</v>
      </c>
      <c r="F11" s="18">
        <v>-3.2</v>
      </c>
      <c r="G11" s="18">
        <f t="shared" ref="G11:G17" si="0">-LOG((1/(E11*D11))*(2.511^(-F11)))/LOG(2.511)</f>
        <v>3.2574169752682476</v>
      </c>
      <c r="H11" s="18">
        <v>19.8</v>
      </c>
      <c r="I11" s="27" t="s">
        <v>162</v>
      </c>
      <c r="J11" s="17">
        <v>0</v>
      </c>
      <c r="K11" s="17">
        <v>2</v>
      </c>
      <c r="L11" s="14" t="s">
        <v>429</v>
      </c>
      <c r="M11" s="25">
        <v>39483</v>
      </c>
      <c r="N11" s="5"/>
      <c r="O11" s="5"/>
    </row>
    <row r="12" spans="1:15" s="12" customFormat="1" ht="37.5" x14ac:dyDescent="0.3">
      <c r="A12" s="22"/>
      <c r="B12" s="36" t="s">
        <v>209</v>
      </c>
      <c r="C12" s="113">
        <v>0.21099999999999999</v>
      </c>
      <c r="D12" s="18">
        <v>45.3</v>
      </c>
      <c r="E12" s="18">
        <f>D12*0.211</f>
        <v>9.5582999999999991</v>
      </c>
      <c r="F12" s="18">
        <v>-2.1</v>
      </c>
      <c r="G12" s="18">
        <f t="shared" si="0"/>
        <v>4.4937239834612983</v>
      </c>
      <c r="H12" s="18">
        <v>21.4</v>
      </c>
      <c r="I12" s="27" t="s">
        <v>197</v>
      </c>
      <c r="J12" s="17">
        <v>0</v>
      </c>
      <c r="K12" s="17">
        <v>1</v>
      </c>
      <c r="L12" s="14" t="s">
        <v>269</v>
      </c>
      <c r="M12" s="25">
        <v>39483</v>
      </c>
      <c r="N12" s="5"/>
      <c r="O12" s="5"/>
    </row>
    <row r="13" spans="1:15" s="12" customFormat="1" ht="62.5" x14ac:dyDescent="0.3">
      <c r="A13" s="22"/>
      <c r="B13" s="36">
        <v>39192.020833333336</v>
      </c>
      <c r="C13" s="113">
        <v>0.72499999999999998</v>
      </c>
      <c r="D13" s="18">
        <v>15.3</v>
      </c>
      <c r="E13" s="18">
        <f>D13*0.211</f>
        <v>3.2282999999999999</v>
      </c>
      <c r="F13" s="18">
        <v>-4.0999999999999996</v>
      </c>
      <c r="G13" s="18">
        <f t="shared" si="0"/>
        <v>0.13578652289406129</v>
      </c>
      <c r="H13" s="18">
        <v>61</v>
      </c>
      <c r="I13" s="26"/>
      <c r="J13" s="17">
        <v>0</v>
      </c>
      <c r="K13" s="17">
        <v>1</v>
      </c>
      <c r="L13" s="14" t="s">
        <v>462</v>
      </c>
      <c r="M13" s="19">
        <v>40042</v>
      </c>
      <c r="N13" s="5"/>
      <c r="O13" s="5"/>
    </row>
    <row r="14" spans="1:15" s="12" customFormat="1" ht="125" x14ac:dyDescent="0.3">
      <c r="A14" s="22"/>
      <c r="B14" s="36">
        <v>39257</v>
      </c>
      <c r="C14" s="113">
        <v>0.40600000000000003</v>
      </c>
      <c r="D14" s="18">
        <v>28.32</v>
      </c>
      <c r="E14" s="18">
        <f>D14*0.4</f>
        <v>11.328000000000001</v>
      </c>
      <c r="F14" s="18">
        <v>-4.4000000000000004</v>
      </c>
      <c r="G14" s="18">
        <f t="shared" si="0"/>
        <v>1.8680182421878069</v>
      </c>
      <c r="H14" s="18">
        <v>57</v>
      </c>
      <c r="I14" s="26"/>
      <c r="J14" s="17">
        <v>0</v>
      </c>
      <c r="K14" s="17">
        <v>3</v>
      </c>
      <c r="L14" s="14" t="s">
        <v>463</v>
      </c>
      <c r="M14" s="40">
        <v>40042</v>
      </c>
      <c r="N14" s="5"/>
      <c r="O14" s="5"/>
    </row>
    <row r="15" spans="1:15" s="12" customFormat="1" ht="37.5" x14ac:dyDescent="0.3">
      <c r="A15" s="22"/>
      <c r="B15" s="36">
        <v>39843.9375</v>
      </c>
      <c r="C15" s="113">
        <v>0.41899999999999998</v>
      </c>
      <c r="D15" s="18">
        <v>29.4</v>
      </c>
      <c r="E15" s="18">
        <f>D15*0.4</f>
        <v>11.76</v>
      </c>
      <c r="F15" s="18">
        <v>-4.5</v>
      </c>
      <c r="G15" s="18">
        <f t="shared" si="0"/>
        <v>1.8493198054000863</v>
      </c>
      <c r="H15" s="18">
        <v>50</v>
      </c>
      <c r="I15" s="27" t="s">
        <v>197</v>
      </c>
      <c r="J15" s="17">
        <v>0</v>
      </c>
      <c r="K15" s="17">
        <v>1</v>
      </c>
      <c r="L15" s="14" t="s">
        <v>430</v>
      </c>
      <c r="M15" s="25">
        <v>39869</v>
      </c>
      <c r="N15" s="5"/>
      <c r="O15" s="5"/>
    </row>
    <row r="16" spans="1:15" s="12" customFormat="1" ht="50" x14ac:dyDescent="0.3">
      <c r="A16" s="22"/>
      <c r="B16" s="36">
        <v>39859.944444444445</v>
      </c>
      <c r="C16" s="113">
        <v>0.30399999999999999</v>
      </c>
      <c r="D16" s="18">
        <v>36.83</v>
      </c>
      <c r="E16" s="18">
        <f>D16*C16</f>
        <v>11.19632</v>
      </c>
      <c r="F16" s="18">
        <v>-4.5999999999999996</v>
      </c>
      <c r="G16" s="18">
        <f t="shared" si="0"/>
        <v>1.9406990683358893</v>
      </c>
      <c r="H16" s="18">
        <v>55</v>
      </c>
      <c r="I16" s="97" t="s">
        <v>146</v>
      </c>
      <c r="J16" s="17">
        <v>0</v>
      </c>
      <c r="K16" s="17">
        <v>1</v>
      </c>
      <c r="L16" s="14" t="s">
        <v>458</v>
      </c>
      <c r="M16" s="25">
        <v>40035</v>
      </c>
      <c r="N16" s="5"/>
      <c r="O16" s="5"/>
    </row>
    <row r="17" spans="1:15" s="12" customFormat="1" ht="62.5" x14ac:dyDescent="0.3">
      <c r="A17" s="22"/>
      <c r="B17" s="36">
        <v>39883.916666666664</v>
      </c>
      <c r="C17" s="113">
        <v>9.0999999999999998E-2</v>
      </c>
      <c r="D17" s="18">
        <v>52.9</v>
      </c>
      <c r="E17" s="18">
        <f>D17*0.09</f>
        <v>4.7610000000000001</v>
      </c>
      <c r="F17" s="18">
        <v>-4.5</v>
      </c>
      <c r="G17" s="18">
        <f t="shared" si="0"/>
        <v>1.5051859304234183</v>
      </c>
      <c r="H17" s="18">
        <v>56</v>
      </c>
      <c r="I17" s="97" t="s">
        <v>146</v>
      </c>
      <c r="J17" s="17">
        <v>0</v>
      </c>
      <c r="K17" s="17">
        <v>2</v>
      </c>
      <c r="L17" s="14" t="s">
        <v>457</v>
      </c>
      <c r="M17" s="25">
        <v>40035</v>
      </c>
      <c r="N17" s="5"/>
      <c r="O17" s="5"/>
    </row>
    <row r="18" spans="1:15" s="12" customFormat="1" ht="62.5" x14ac:dyDescent="0.3">
      <c r="A18" s="22"/>
      <c r="B18" s="36">
        <v>40376.125</v>
      </c>
      <c r="C18" s="114">
        <v>0.60299999999999998</v>
      </c>
      <c r="D18" s="13">
        <v>19.100000000000001</v>
      </c>
      <c r="E18" s="13">
        <f>D18*C18</f>
        <v>11.517300000000001</v>
      </c>
      <c r="F18" s="13">
        <v>-4.2</v>
      </c>
      <c r="G18" s="18">
        <f>-LOG((1/(E18*D18))*(2.511^(-F18)))/LOG(2.511)</f>
        <v>1.6582050875015333</v>
      </c>
      <c r="H18" s="18">
        <v>56</v>
      </c>
      <c r="I18" s="32" t="s">
        <v>592</v>
      </c>
      <c r="J18" s="5">
        <v>1</v>
      </c>
      <c r="K18" s="5">
        <v>0</v>
      </c>
      <c r="L18" s="14" t="s">
        <v>593</v>
      </c>
      <c r="M18" s="19">
        <v>40386</v>
      </c>
      <c r="N18" s="5"/>
      <c r="O18" s="5"/>
    </row>
    <row r="19" spans="1:15" s="12" customFormat="1" ht="87.5" x14ac:dyDescent="0.3">
      <c r="A19" s="22"/>
      <c r="B19" s="36">
        <v>40410.98541666667</v>
      </c>
      <c r="C19" s="114">
        <v>0.48199999999999998</v>
      </c>
      <c r="D19" s="13">
        <v>24.6</v>
      </c>
      <c r="E19" s="13">
        <f>D19*C19</f>
        <v>11.857200000000001</v>
      </c>
      <c r="F19" s="13">
        <v>-4.3</v>
      </c>
      <c r="G19" s="18">
        <f>-LOG((1/(E19*D19))*(2.511^(-F19)))/LOG(2.511)</f>
        <v>1.8646555394225339</v>
      </c>
      <c r="H19" s="13">
        <v>37</v>
      </c>
      <c r="I19" s="27" t="s">
        <v>6</v>
      </c>
      <c r="J19" s="5">
        <v>0</v>
      </c>
      <c r="K19" s="5">
        <v>1</v>
      </c>
      <c r="L19" s="14" t="s">
        <v>605</v>
      </c>
      <c r="M19" s="19">
        <v>40419</v>
      </c>
      <c r="N19" s="5"/>
      <c r="O19" s="5"/>
    </row>
    <row r="20" spans="1:15" s="12" customFormat="1" ht="75" x14ac:dyDescent="0.3">
      <c r="A20" s="22"/>
      <c r="B20" s="36">
        <v>40414.953472222223</v>
      </c>
      <c r="C20" s="114">
        <v>0.46</v>
      </c>
      <c r="D20" s="13">
        <v>25.8</v>
      </c>
      <c r="E20" s="13">
        <f>D20*C20</f>
        <v>11.868</v>
      </c>
      <c r="F20" s="13">
        <v>-4.4000000000000004</v>
      </c>
      <c r="G20" s="18">
        <f>-LOG((1/(E20*D20))*(2.511^(-F20)))/LOG(2.511)</f>
        <v>1.8173757206624914</v>
      </c>
      <c r="H20" s="13">
        <v>39</v>
      </c>
      <c r="I20" s="27" t="s">
        <v>211</v>
      </c>
      <c r="J20" s="5">
        <v>0</v>
      </c>
      <c r="K20" s="5">
        <v>1</v>
      </c>
      <c r="L20" s="14" t="s">
        <v>606</v>
      </c>
      <c r="M20" s="19">
        <v>40419</v>
      </c>
      <c r="N20" s="5"/>
      <c r="O20" s="5"/>
    </row>
    <row r="21" spans="1:15" s="12" customFormat="1" ht="75" x14ac:dyDescent="0.3">
      <c r="A21" s="22"/>
      <c r="B21" s="36">
        <v>40415.973611111112</v>
      </c>
      <c r="C21" s="114">
        <v>0.45400000000000001</v>
      </c>
      <c r="D21" s="13">
        <v>26.2</v>
      </c>
      <c r="E21" s="13">
        <f>D21*C21</f>
        <v>11.8948</v>
      </c>
      <c r="F21" s="13">
        <v>-4.4000000000000004</v>
      </c>
      <c r="G21" s="18">
        <f>-LOG((1/(E21*D21))*(2.511^(-F21)))/LOG(2.511)</f>
        <v>1.8365360429684567</v>
      </c>
      <c r="H21" s="13">
        <v>35</v>
      </c>
      <c r="I21" s="27" t="s">
        <v>211</v>
      </c>
      <c r="J21" s="5">
        <v>0</v>
      </c>
      <c r="K21" s="5">
        <v>1</v>
      </c>
      <c r="L21" s="14" t="s">
        <v>608</v>
      </c>
      <c r="M21" s="19">
        <v>40419</v>
      </c>
      <c r="N21" s="5"/>
      <c r="O21" s="5"/>
    </row>
    <row r="22" spans="1:15" s="12" customFormat="1" ht="62.5" x14ac:dyDescent="0.3">
      <c r="A22" s="22"/>
      <c r="B22" s="185">
        <v>40416.984027777777</v>
      </c>
      <c r="C22" s="180">
        <v>0.44900000000000001</v>
      </c>
      <c r="D22" s="181">
        <v>26.5</v>
      </c>
      <c r="E22" s="181">
        <f>D22*C22</f>
        <v>11.8985</v>
      </c>
      <c r="F22" s="181">
        <v>-4.4000000000000004</v>
      </c>
      <c r="G22" s="182">
        <f>-LOG((1/(E22*D22))*(2.511^(-F22)))/LOG(2.511)</f>
        <v>1.8492400448242658</v>
      </c>
      <c r="H22" s="181">
        <v>34</v>
      </c>
      <c r="I22" s="183" t="s">
        <v>211</v>
      </c>
      <c r="J22" s="184">
        <v>0</v>
      </c>
      <c r="K22" s="184">
        <v>1</v>
      </c>
      <c r="L22" s="128" t="s">
        <v>607</v>
      </c>
      <c r="M22" s="186">
        <v>40419</v>
      </c>
      <c r="N22" s="5"/>
      <c r="O22" s="5"/>
    </row>
    <row r="23" spans="1:15" s="12" customFormat="1" ht="13" x14ac:dyDescent="0.3">
      <c r="A23" s="22"/>
      <c r="B23" s="36">
        <v>40974.958333333336</v>
      </c>
      <c r="C23" s="114"/>
      <c r="D23" s="13"/>
      <c r="E23" s="13"/>
      <c r="F23" s="13"/>
      <c r="G23" s="18"/>
      <c r="H23" s="13"/>
      <c r="I23" s="28"/>
      <c r="J23" s="5">
        <v>1</v>
      </c>
      <c r="K23" s="5">
        <v>0</v>
      </c>
      <c r="L23" s="23" t="s">
        <v>832</v>
      </c>
      <c r="M23" s="19">
        <v>43859</v>
      </c>
      <c r="N23" s="5"/>
      <c r="O23" s="5"/>
    </row>
    <row r="24" spans="1:15" s="12" customFormat="1" ht="37.5" x14ac:dyDescent="0.3">
      <c r="A24" s="22"/>
      <c r="B24" s="36">
        <v>40975.041666666664</v>
      </c>
      <c r="C24" s="114"/>
      <c r="D24" s="13"/>
      <c r="E24" s="13"/>
      <c r="F24" s="13"/>
      <c r="G24" s="18"/>
      <c r="H24" s="13"/>
      <c r="I24" s="28"/>
      <c r="J24" s="5">
        <v>0</v>
      </c>
      <c r="K24" s="5">
        <v>1</v>
      </c>
      <c r="L24" s="23" t="s">
        <v>833</v>
      </c>
      <c r="M24" s="19">
        <v>43859</v>
      </c>
      <c r="N24" s="5"/>
      <c r="O24" s="5"/>
    </row>
    <row r="25" spans="1:15" s="12" customFormat="1" ht="13" x14ac:dyDescent="0.3">
      <c r="A25" s="22"/>
      <c r="B25" s="36">
        <v>40977.041666666664</v>
      </c>
      <c r="C25" s="114"/>
      <c r="D25" s="13"/>
      <c r="E25" s="13"/>
      <c r="F25" s="13"/>
      <c r="G25" s="18"/>
      <c r="H25" s="13"/>
      <c r="I25" s="28"/>
      <c r="J25" s="5">
        <v>0</v>
      </c>
      <c r="K25" s="5">
        <v>1</v>
      </c>
      <c r="L25" s="22" t="s">
        <v>749</v>
      </c>
      <c r="M25" s="19">
        <v>41201</v>
      </c>
      <c r="N25" s="5"/>
      <c r="O25" s="5"/>
    </row>
    <row r="26" spans="1:15" s="12" customFormat="1" ht="62.5" x14ac:dyDescent="0.3">
      <c r="A26" s="22"/>
      <c r="B26" s="36">
        <v>40998.011111111111</v>
      </c>
      <c r="C26" s="240">
        <v>0.496</v>
      </c>
      <c r="D26" s="126">
        <v>24.3</v>
      </c>
      <c r="E26" s="13">
        <f>D26*C26</f>
        <v>12.0528</v>
      </c>
      <c r="F26" s="13">
        <v>-4.4000000000000004</v>
      </c>
      <c r="G26" s="18">
        <f>-LOG((1/(E26*D26))*(2.511^(-F26)))/LOG(2.511)</f>
        <v>1.7690996705975968</v>
      </c>
      <c r="H26" s="13">
        <v>56</v>
      </c>
      <c r="I26" s="27" t="s">
        <v>211</v>
      </c>
      <c r="J26" s="5">
        <v>0</v>
      </c>
      <c r="K26" s="5">
        <v>1</v>
      </c>
      <c r="L26" s="23" t="s">
        <v>751</v>
      </c>
      <c r="M26" s="6">
        <v>41002</v>
      </c>
      <c r="O26" s="5"/>
    </row>
    <row r="27" spans="1:15" s="12" customFormat="1" ht="62.5" x14ac:dyDescent="0.3">
      <c r="A27" s="22"/>
      <c r="B27" s="36">
        <v>41016.006944444445</v>
      </c>
      <c r="C27" s="240">
        <v>0.496</v>
      </c>
      <c r="D27" s="126">
        <v>24.3</v>
      </c>
      <c r="E27" s="13">
        <f>D27*C27</f>
        <v>12.0528</v>
      </c>
      <c r="F27" s="13">
        <v>-4.4000000000000004</v>
      </c>
      <c r="G27" s="18">
        <f>-LOG((1/(E27*D27))*(2.511^(-F27)))/LOG(2.511)</f>
        <v>1.7690996705975968</v>
      </c>
      <c r="H27" s="13">
        <v>56</v>
      </c>
      <c r="I27" s="27" t="s">
        <v>211</v>
      </c>
      <c r="J27" s="5">
        <v>0</v>
      </c>
      <c r="K27" s="5">
        <v>1</v>
      </c>
      <c r="L27" s="23" t="s">
        <v>756</v>
      </c>
      <c r="M27" s="6">
        <v>41021</v>
      </c>
      <c r="O27" s="5"/>
    </row>
    <row r="28" spans="1:15" s="12" customFormat="1" ht="13" x14ac:dyDescent="0.3">
      <c r="A28" s="22"/>
      <c r="B28" s="36">
        <v>41021.006944444445</v>
      </c>
      <c r="C28" s="114"/>
      <c r="D28" s="13"/>
      <c r="E28" s="13"/>
      <c r="F28" s="13"/>
      <c r="G28" s="18"/>
      <c r="H28" s="13"/>
      <c r="I28" s="28"/>
      <c r="J28" s="5"/>
      <c r="K28" s="5"/>
      <c r="L28" s="14" t="s">
        <v>758</v>
      </c>
      <c r="M28" s="19">
        <v>41072</v>
      </c>
      <c r="N28" s="5"/>
      <c r="O28" s="5"/>
    </row>
    <row r="29" spans="1:15" s="12" customFormat="1" ht="50" x14ac:dyDescent="0.3">
      <c r="A29" s="22"/>
      <c r="B29" s="36">
        <v>41039.074305555558</v>
      </c>
      <c r="C29" s="114">
        <v>0.186</v>
      </c>
      <c r="D29" s="13">
        <v>42.96</v>
      </c>
      <c r="E29" s="13">
        <f t="shared" ref="E29" si="1">D29*C29</f>
        <v>7.9905600000000003</v>
      </c>
      <c r="F29" s="13">
        <v>-4.5</v>
      </c>
      <c r="G29" s="18">
        <f t="shared" ref="G29:G37" si="2">-LOG((1/(E29*D29))*(2.511^(-F29)))/LOG(2.511)</f>
        <v>1.8415339153267636</v>
      </c>
      <c r="H29" s="13">
        <v>34.1</v>
      </c>
      <c r="I29" s="28"/>
      <c r="J29" s="5">
        <v>0</v>
      </c>
      <c r="K29" s="5">
        <v>2</v>
      </c>
      <c r="L29" s="14" t="s">
        <v>773</v>
      </c>
      <c r="M29" s="19">
        <v>41300</v>
      </c>
      <c r="N29" s="5"/>
      <c r="O29" s="5"/>
    </row>
    <row r="30" spans="1:15" s="12" customFormat="1" ht="62.5" x14ac:dyDescent="0.3">
      <c r="A30" s="22"/>
      <c r="B30" s="36">
        <v>41065.927083333336</v>
      </c>
      <c r="C30" s="114">
        <v>0</v>
      </c>
      <c r="D30" s="13">
        <v>57.8</v>
      </c>
      <c r="E30" s="13">
        <v>0.01</v>
      </c>
      <c r="F30" s="13">
        <v>-4.4000000000000004</v>
      </c>
      <c r="G30" s="18">
        <f t="shared" si="2"/>
        <v>-4.9954085753617274</v>
      </c>
      <c r="H30" s="13">
        <v>46</v>
      </c>
      <c r="I30" s="27" t="s">
        <v>197</v>
      </c>
      <c r="J30" s="5">
        <v>0</v>
      </c>
      <c r="K30" s="5">
        <v>12</v>
      </c>
      <c r="L30" s="14" t="s">
        <v>766</v>
      </c>
      <c r="M30" s="19">
        <v>41072</v>
      </c>
      <c r="N30" s="5"/>
      <c r="O30" s="5"/>
    </row>
    <row r="31" spans="1:15" s="12" customFormat="1" ht="62.5" x14ac:dyDescent="0.3">
      <c r="A31" s="22"/>
      <c r="B31" s="36">
        <v>41065.986111111109</v>
      </c>
      <c r="C31" s="114">
        <v>0</v>
      </c>
      <c r="D31" s="13">
        <v>57.8</v>
      </c>
      <c r="E31" s="13">
        <v>0.01</v>
      </c>
      <c r="F31" s="13">
        <v>-4.4000000000000004</v>
      </c>
      <c r="G31" s="18">
        <f t="shared" si="2"/>
        <v>-4.9954085753617274</v>
      </c>
      <c r="H31" s="13">
        <v>30</v>
      </c>
      <c r="I31" s="27" t="s">
        <v>197</v>
      </c>
      <c r="J31" s="5">
        <v>0</v>
      </c>
      <c r="K31" s="5">
        <v>2</v>
      </c>
      <c r="L31" s="14" t="s">
        <v>765</v>
      </c>
      <c r="M31" s="19">
        <v>41072</v>
      </c>
      <c r="N31" s="5"/>
      <c r="O31" s="5"/>
    </row>
    <row r="32" spans="1:15" s="12" customFormat="1" ht="137.5" x14ac:dyDescent="0.3">
      <c r="A32" s="22"/>
      <c r="B32" s="36">
        <v>41065.999305555553</v>
      </c>
      <c r="C32" s="114">
        <v>0</v>
      </c>
      <c r="D32" s="13">
        <v>57.8</v>
      </c>
      <c r="E32" s="13">
        <v>0.01</v>
      </c>
      <c r="F32" s="13">
        <v>-4.4000000000000004</v>
      </c>
      <c r="G32" s="18">
        <f t="shared" si="2"/>
        <v>-4.9954085753617274</v>
      </c>
      <c r="H32" s="13">
        <v>30</v>
      </c>
      <c r="I32" s="27" t="s">
        <v>197</v>
      </c>
      <c r="J32" s="5">
        <v>0</v>
      </c>
      <c r="K32" s="5">
        <v>5</v>
      </c>
      <c r="L32" s="14" t="s">
        <v>767</v>
      </c>
      <c r="M32" s="19">
        <v>41072</v>
      </c>
      <c r="N32" s="5"/>
      <c r="O32" s="5"/>
    </row>
    <row r="33" spans="1:15" s="12" customFormat="1" ht="112.5" x14ac:dyDescent="0.3">
      <c r="A33" s="22"/>
      <c r="B33" s="36">
        <v>42073.080289351848</v>
      </c>
      <c r="C33" s="114">
        <v>0.84299999999999997</v>
      </c>
      <c r="D33" s="13">
        <v>12.5</v>
      </c>
      <c r="E33" s="13">
        <f t="shared" ref="E33:E37" si="3">D33*C33</f>
        <v>10.5375</v>
      </c>
      <c r="F33" s="13">
        <v>-4</v>
      </c>
      <c r="G33" s="18">
        <f t="shared" si="2"/>
        <v>1.3011504990481102</v>
      </c>
      <c r="H33" s="13">
        <v>19</v>
      </c>
      <c r="I33" s="265"/>
      <c r="J33" s="5">
        <v>0</v>
      </c>
      <c r="K33" s="5">
        <v>1</v>
      </c>
      <c r="L33" s="14" t="s">
        <v>822</v>
      </c>
      <c r="M33" s="19">
        <v>42338</v>
      </c>
      <c r="N33" s="5"/>
      <c r="O33" s="5"/>
    </row>
    <row r="34" spans="1:15" s="12" customFormat="1" ht="75" x14ac:dyDescent="0.3">
      <c r="A34" s="2"/>
      <c r="B34" s="36">
        <v>42074.045138888891</v>
      </c>
      <c r="C34" s="240">
        <v>0.84</v>
      </c>
      <c r="D34" s="13">
        <v>12.5</v>
      </c>
      <c r="E34" s="13">
        <f t="shared" si="3"/>
        <v>10.5</v>
      </c>
      <c r="F34" s="13">
        <v>-4</v>
      </c>
      <c r="G34" s="18">
        <f t="shared" si="2"/>
        <v>1.2972782937413423</v>
      </c>
      <c r="H34" s="13">
        <v>29</v>
      </c>
      <c r="I34" s="28"/>
      <c r="J34" s="5">
        <v>0</v>
      </c>
      <c r="K34" s="5">
        <v>3</v>
      </c>
      <c r="L34" s="14" t="s">
        <v>823</v>
      </c>
      <c r="M34" s="19">
        <v>42338</v>
      </c>
      <c r="N34" s="1"/>
      <c r="O34" s="1"/>
    </row>
    <row r="35" spans="1:15" ht="62.5" x14ac:dyDescent="0.25">
      <c r="A35" s="2"/>
      <c r="B35" s="36">
        <v>42093.081944444442</v>
      </c>
      <c r="C35" s="114">
        <v>0.78700000000000003</v>
      </c>
      <c r="D35" s="13">
        <v>13.7</v>
      </c>
      <c r="E35" s="13">
        <f t="shared" si="3"/>
        <v>10.7819</v>
      </c>
      <c r="F35" s="13">
        <v>-4</v>
      </c>
      <c r="G35" s="18">
        <f t="shared" si="2"/>
        <v>1.425618862670134</v>
      </c>
      <c r="H35" s="13">
        <v>27</v>
      </c>
      <c r="I35" s="28"/>
      <c r="J35" s="5">
        <v>0</v>
      </c>
      <c r="K35" s="5">
        <v>2</v>
      </c>
      <c r="L35" s="14" t="s">
        <v>824</v>
      </c>
      <c r="M35" s="19">
        <v>42338</v>
      </c>
    </row>
    <row r="36" spans="1:15" ht="75" x14ac:dyDescent="0.25">
      <c r="A36" s="2"/>
      <c r="B36" s="36">
        <v>42158.125</v>
      </c>
      <c r="C36" s="114">
        <v>0.51800000000000002</v>
      </c>
      <c r="D36" s="13">
        <v>22.6</v>
      </c>
      <c r="E36" s="13">
        <f t="shared" si="3"/>
        <v>11.706800000000001</v>
      </c>
      <c r="F36" s="13">
        <v>-4.3</v>
      </c>
      <c r="G36" s="18">
        <f t="shared" si="2"/>
        <v>1.7586883948683312</v>
      </c>
      <c r="H36" s="13">
        <v>29</v>
      </c>
      <c r="I36" s="28"/>
      <c r="J36" s="5">
        <v>0</v>
      </c>
      <c r="K36" s="5">
        <v>4</v>
      </c>
      <c r="L36" s="14" t="s">
        <v>825</v>
      </c>
      <c r="M36" s="19">
        <v>42339</v>
      </c>
    </row>
    <row r="37" spans="1:15" ht="62.5" x14ac:dyDescent="0.25">
      <c r="A37" s="2"/>
      <c r="B37" s="36">
        <v>42178.116666666669</v>
      </c>
      <c r="C37" s="114">
        <v>0.39600000000000002</v>
      </c>
      <c r="D37" s="13">
        <v>28.9</v>
      </c>
      <c r="E37" s="13">
        <f t="shared" si="3"/>
        <v>11.4444</v>
      </c>
      <c r="F37" s="13">
        <v>-4.4000000000000004</v>
      </c>
      <c r="G37" s="18">
        <f t="shared" si="2"/>
        <v>1.9011418909614104</v>
      </c>
      <c r="H37" s="13">
        <v>27</v>
      </c>
      <c r="I37" s="28"/>
      <c r="J37" s="5">
        <v>0</v>
      </c>
      <c r="K37" s="5">
        <v>3</v>
      </c>
      <c r="L37" s="14" t="s">
        <v>826</v>
      </c>
      <c r="M37" s="19">
        <v>42339</v>
      </c>
    </row>
    <row r="38" spans="1:15" x14ac:dyDescent="0.25">
      <c r="A38" s="22"/>
      <c r="B38" s="36"/>
      <c r="C38" s="114"/>
      <c r="D38" s="13"/>
      <c r="E38" s="13"/>
      <c r="F38" s="13"/>
      <c r="G38" s="18"/>
      <c r="H38" s="13"/>
      <c r="I38" s="28"/>
      <c r="J38" s="5"/>
      <c r="K38" s="5"/>
      <c r="L38" s="14"/>
      <c r="M38" s="19"/>
      <c r="N38" s="5"/>
      <c r="O38" s="5"/>
    </row>
    <row r="39" spans="1:15" s="12" customFormat="1" ht="13" x14ac:dyDescent="0.3">
      <c r="A39" s="22"/>
      <c r="B39" s="36"/>
      <c r="C39" s="114"/>
      <c r="D39" s="13"/>
      <c r="E39" s="13"/>
      <c r="F39" s="13"/>
      <c r="G39" s="18"/>
      <c r="H39" s="13"/>
      <c r="I39" s="28"/>
      <c r="J39" s="5"/>
      <c r="K39" s="5"/>
      <c r="L39" s="14"/>
      <c r="M39" s="19"/>
      <c r="N39" s="5"/>
      <c r="O39" s="5"/>
    </row>
    <row r="40" spans="1:15" s="12" customFormat="1" ht="13" x14ac:dyDescent="0.3">
      <c r="A40" s="22"/>
      <c r="B40" s="36"/>
      <c r="C40" s="114"/>
      <c r="D40" s="13"/>
      <c r="E40" s="13"/>
      <c r="F40" s="13"/>
      <c r="G40" s="18"/>
      <c r="H40" s="13"/>
      <c r="I40" s="28"/>
      <c r="J40" s="5"/>
      <c r="K40" s="5"/>
      <c r="L40" s="14"/>
      <c r="M40" s="19"/>
      <c r="N40" s="5"/>
      <c r="O40" s="5"/>
    </row>
    <row r="41" spans="1:15" s="12" customFormat="1" ht="13" x14ac:dyDescent="0.3">
      <c r="A41" s="22"/>
      <c r="B41" s="36"/>
      <c r="C41" s="114"/>
      <c r="D41" s="13"/>
      <c r="E41" s="13"/>
      <c r="F41" s="13"/>
      <c r="G41" s="18"/>
      <c r="H41" s="13"/>
      <c r="I41" s="28"/>
      <c r="J41" s="5"/>
      <c r="K41" s="5"/>
      <c r="L41" s="14"/>
      <c r="M41" s="19"/>
      <c r="N41" s="5"/>
      <c r="O41" s="5"/>
    </row>
    <row r="42" spans="1:15" s="12" customFormat="1" ht="13" x14ac:dyDescent="0.3">
      <c r="A42" s="22"/>
      <c r="B42" s="36"/>
      <c r="C42" s="114"/>
      <c r="D42" s="13"/>
      <c r="E42" s="13"/>
      <c r="F42" s="13"/>
      <c r="G42" s="18"/>
      <c r="H42" s="13"/>
      <c r="I42" s="28"/>
      <c r="J42" s="5"/>
      <c r="K42" s="5"/>
      <c r="L42" s="14"/>
      <c r="M42" s="19"/>
      <c r="N42" s="5"/>
      <c r="O42" s="5"/>
    </row>
    <row r="43" spans="1:15" s="12" customFormat="1" ht="13" x14ac:dyDescent="0.3">
      <c r="A43" s="22"/>
      <c r="B43" s="36"/>
      <c r="C43" s="114"/>
      <c r="D43" s="13"/>
      <c r="E43" s="13"/>
      <c r="F43" s="13"/>
      <c r="G43" s="18"/>
      <c r="H43" s="13"/>
      <c r="I43" s="28"/>
      <c r="J43" s="5"/>
      <c r="K43" s="5"/>
      <c r="L43" s="14"/>
      <c r="M43" s="19"/>
      <c r="N43" s="5"/>
      <c r="O43" s="5"/>
    </row>
    <row r="44" spans="1:15" s="12" customFormat="1" ht="13" x14ac:dyDescent="0.3">
      <c r="A44" s="22"/>
      <c r="B44" s="36"/>
      <c r="C44" s="114"/>
      <c r="D44" s="13"/>
      <c r="E44" s="13"/>
      <c r="F44" s="13"/>
      <c r="G44" s="18"/>
      <c r="H44" s="13"/>
      <c r="I44" s="28"/>
      <c r="J44" s="5"/>
      <c r="K44" s="5"/>
      <c r="L44" s="14"/>
      <c r="M44" s="19"/>
      <c r="N44" s="5"/>
      <c r="O44" s="5"/>
    </row>
    <row r="45" spans="1:15" s="12" customFormat="1" ht="13" x14ac:dyDescent="0.3">
      <c r="A45" s="22"/>
      <c r="B45" s="36"/>
      <c r="C45" s="114"/>
      <c r="D45" s="13"/>
      <c r="E45" s="13"/>
      <c r="F45" s="13"/>
      <c r="G45" s="18"/>
      <c r="H45" s="13"/>
      <c r="I45" s="28"/>
      <c r="J45" s="5"/>
      <c r="K45" s="5"/>
      <c r="L45" s="14"/>
      <c r="M45" s="19"/>
      <c r="N45" s="5"/>
      <c r="O45" s="5"/>
    </row>
    <row r="46" spans="1:15" s="12" customFormat="1" ht="13" x14ac:dyDescent="0.3">
      <c r="A46" s="22"/>
      <c r="B46" s="36"/>
      <c r="C46" s="114"/>
      <c r="D46" s="13"/>
      <c r="E46" s="13"/>
      <c r="F46" s="13"/>
      <c r="G46" s="18"/>
      <c r="H46" s="13"/>
      <c r="I46" s="28"/>
      <c r="J46" s="5"/>
      <c r="K46" s="5"/>
      <c r="L46" s="14"/>
      <c r="M46" s="19"/>
      <c r="N46" s="5"/>
      <c r="O46" s="5"/>
    </row>
    <row r="47" spans="1:15" s="12" customFormat="1" ht="13" x14ac:dyDescent="0.3">
      <c r="A47" s="22"/>
      <c r="B47" s="36"/>
      <c r="C47" s="114"/>
      <c r="D47" s="13"/>
      <c r="E47" s="13"/>
      <c r="F47" s="13"/>
      <c r="G47" s="18"/>
      <c r="H47" s="13"/>
      <c r="I47" s="28"/>
      <c r="J47" s="5"/>
      <c r="K47" s="5"/>
      <c r="L47" s="14"/>
      <c r="M47" s="19"/>
      <c r="N47" s="5"/>
      <c r="O47" s="5"/>
    </row>
    <row r="48" spans="1:15" s="12" customFormat="1" ht="13" x14ac:dyDescent="0.3">
      <c r="A48" s="22"/>
      <c r="B48" s="36"/>
      <c r="C48" s="114"/>
      <c r="D48" s="13"/>
      <c r="E48" s="13"/>
      <c r="F48" s="13"/>
      <c r="G48" s="18"/>
      <c r="H48" s="13"/>
      <c r="I48" s="28"/>
      <c r="J48" s="5"/>
      <c r="K48" s="5"/>
      <c r="L48" s="14"/>
      <c r="M48" s="19"/>
      <c r="N48" s="5"/>
      <c r="O48" s="5"/>
    </row>
    <row r="49" spans="1:15" s="12" customFormat="1" ht="13" x14ac:dyDescent="0.3">
      <c r="A49" s="22"/>
      <c r="B49" s="36"/>
      <c r="C49" s="114"/>
      <c r="D49" s="13"/>
      <c r="E49" s="13"/>
      <c r="F49" s="13"/>
      <c r="G49" s="18"/>
      <c r="H49" s="13"/>
      <c r="I49" s="28"/>
      <c r="J49" s="5"/>
      <c r="K49" s="5"/>
      <c r="L49" s="14"/>
      <c r="M49" s="19"/>
      <c r="N49" s="5"/>
      <c r="O49" s="5"/>
    </row>
    <row r="50" spans="1:15" s="12" customFormat="1" ht="13" x14ac:dyDescent="0.3">
      <c r="A50" s="22"/>
      <c r="B50" s="36"/>
      <c r="C50" s="114"/>
      <c r="D50" s="13"/>
      <c r="E50" s="13"/>
      <c r="F50" s="13"/>
      <c r="G50" s="18"/>
      <c r="H50" s="13"/>
      <c r="I50" s="28"/>
      <c r="J50" s="5"/>
      <c r="K50" s="5"/>
      <c r="L50" s="14"/>
      <c r="M50" s="19"/>
      <c r="N50" s="5"/>
      <c r="O50" s="5"/>
    </row>
    <row r="51" spans="1:15" s="12" customFormat="1" ht="13" x14ac:dyDescent="0.3">
      <c r="A51" s="22"/>
      <c r="B51" s="36"/>
      <c r="C51" s="114"/>
      <c r="D51" s="13"/>
      <c r="E51" s="13"/>
      <c r="F51" s="13"/>
      <c r="G51" s="18"/>
      <c r="H51" s="13"/>
      <c r="I51" s="28"/>
      <c r="J51" s="5"/>
      <c r="K51" s="5"/>
      <c r="L51" s="14"/>
      <c r="M51" s="19"/>
      <c r="N51" s="5"/>
      <c r="O51" s="5"/>
    </row>
    <row r="52" spans="1:15" s="12" customFormat="1" ht="13" x14ac:dyDescent="0.3">
      <c r="A52" s="22"/>
      <c r="B52" s="36"/>
      <c r="C52" s="114"/>
      <c r="D52" s="13"/>
      <c r="E52" s="13"/>
      <c r="F52" s="13"/>
      <c r="G52" s="18"/>
      <c r="H52" s="13"/>
      <c r="I52" s="28"/>
      <c r="J52" s="5"/>
      <c r="K52" s="5"/>
      <c r="L52" s="14"/>
      <c r="M52" s="19"/>
      <c r="N52" s="5"/>
      <c r="O52" s="5"/>
    </row>
    <row r="53" spans="1:15" s="12" customFormat="1" ht="13" x14ac:dyDescent="0.3">
      <c r="A53" s="22"/>
      <c r="B53" s="36"/>
      <c r="C53" s="114"/>
      <c r="D53" s="13"/>
      <c r="E53" s="13"/>
      <c r="F53" s="13"/>
      <c r="G53" s="18"/>
      <c r="H53" s="13"/>
      <c r="I53" s="28"/>
      <c r="J53" s="5"/>
      <c r="K53" s="5"/>
      <c r="L53" s="14"/>
      <c r="M53" s="19"/>
      <c r="N53" s="5"/>
      <c r="O53" s="5"/>
    </row>
    <row r="54" spans="1:15" s="12" customFormat="1" ht="13" x14ac:dyDescent="0.3">
      <c r="A54" s="22"/>
      <c r="B54" s="36"/>
      <c r="C54" s="114"/>
      <c r="D54" s="13"/>
      <c r="E54" s="13"/>
      <c r="F54" s="13"/>
      <c r="G54" s="18"/>
      <c r="H54" s="13"/>
      <c r="I54" s="28"/>
      <c r="J54" s="5"/>
      <c r="K54" s="5"/>
      <c r="L54" s="14"/>
      <c r="M54" s="19"/>
      <c r="N54" s="5"/>
      <c r="O54" s="5"/>
    </row>
    <row r="55" spans="1:15" s="12" customFormat="1" ht="13" x14ac:dyDescent="0.3">
      <c r="A55" s="22"/>
      <c r="B55" s="36"/>
      <c r="C55" s="114"/>
      <c r="D55" s="13"/>
      <c r="E55" s="13"/>
      <c r="F55" s="13"/>
      <c r="G55" s="18"/>
      <c r="H55" s="13"/>
      <c r="I55" s="28"/>
      <c r="J55" s="5"/>
      <c r="K55" s="5"/>
      <c r="L55" s="14"/>
      <c r="M55" s="19"/>
      <c r="N55" s="5"/>
      <c r="O55" s="5"/>
    </row>
    <row r="56" spans="1:15" s="12" customFormat="1" ht="13" x14ac:dyDescent="0.3">
      <c r="A56" s="22"/>
      <c r="B56" s="36"/>
      <c r="C56" s="114"/>
      <c r="D56" s="13"/>
      <c r="E56" s="13"/>
      <c r="F56" s="13"/>
      <c r="G56" s="18"/>
      <c r="H56" s="13"/>
      <c r="I56" s="28"/>
      <c r="J56" s="5"/>
      <c r="K56" s="5"/>
      <c r="L56" s="14"/>
      <c r="M56" s="19"/>
      <c r="N56" s="5"/>
      <c r="O56" s="5"/>
    </row>
    <row r="57" spans="1:15" s="12" customFormat="1" ht="13" x14ac:dyDescent="0.3">
      <c r="A57" s="22"/>
      <c r="B57" s="36"/>
      <c r="C57" s="114"/>
      <c r="D57" s="13"/>
      <c r="E57" s="13"/>
      <c r="F57" s="13"/>
      <c r="G57" s="18"/>
      <c r="H57" s="13"/>
      <c r="I57" s="28"/>
      <c r="J57" s="5"/>
      <c r="K57" s="5"/>
      <c r="L57" s="14"/>
      <c r="M57" s="19"/>
      <c r="N57" s="5"/>
      <c r="O57" s="5"/>
    </row>
    <row r="58" spans="1:15" s="12" customFormat="1" ht="13" x14ac:dyDescent="0.3">
      <c r="A58" s="84"/>
      <c r="B58" s="71"/>
      <c r="C58" s="115"/>
      <c r="D58" s="85"/>
      <c r="E58" s="85"/>
      <c r="F58" s="85"/>
      <c r="G58" s="73"/>
      <c r="H58" s="85"/>
      <c r="I58" s="86"/>
      <c r="J58" s="87"/>
      <c r="K58" s="87"/>
      <c r="L58" s="76"/>
      <c r="M58" s="95"/>
      <c r="N58" s="5"/>
      <c r="O58" s="5"/>
    </row>
    <row r="59" spans="1:15" s="12" customFormat="1" ht="13" x14ac:dyDescent="0.3">
      <c r="A59" s="84"/>
      <c r="B59" s="71"/>
      <c r="C59" s="115"/>
      <c r="D59" s="85"/>
      <c r="E59" s="85"/>
      <c r="F59" s="85"/>
      <c r="G59" s="73"/>
      <c r="H59" s="85"/>
      <c r="I59" s="86"/>
      <c r="J59" s="87"/>
      <c r="K59" s="87"/>
      <c r="L59" s="76"/>
      <c r="M59" s="95"/>
      <c r="N59" s="5"/>
      <c r="O59" s="5"/>
    </row>
    <row r="60" spans="1:15" s="12" customFormat="1" ht="13" x14ac:dyDescent="0.3">
      <c r="A60" s="84"/>
      <c r="B60" s="71"/>
      <c r="C60" s="115"/>
      <c r="D60" s="85"/>
      <c r="E60" s="85"/>
      <c r="F60" s="85"/>
      <c r="G60" s="73"/>
      <c r="H60" s="85"/>
      <c r="I60" s="86"/>
      <c r="J60" s="87"/>
      <c r="K60" s="87"/>
      <c r="L60" s="76"/>
      <c r="M60" s="95"/>
      <c r="N60" s="5"/>
      <c r="O60" s="5"/>
    </row>
    <row r="61" spans="1:15" s="12" customFormat="1" ht="13" x14ac:dyDescent="0.3">
      <c r="A61" s="84"/>
      <c r="B61" s="71"/>
      <c r="C61" s="115"/>
      <c r="D61" s="85"/>
      <c r="E61" s="85"/>
      <c r="F61" s="85"/>
      <c r="G61" s="73"/>
      <c r="H61" s="85"/>
      <c r="I61" s="86"/>
      <c r="J61" s="87"/>
      <c r="K61" s="87"/>
      <c r="L61" s="76"/>
      <c r="M61" s="95"/>
      <c r="N61" s="5"/>
      <c r="O61" s="5"/>
    </row>
    <row r="62" spans="1:15" s="12" customFormat="1" ht="13" x14ac:dyDescent="0.3">
      <c r="A62" s="22"/>
      <c r="B62" s="36"/>
      <c r="C62" s="114"/>
      <c r="D62" s="13"/>
      <c r="E62" s="13"/>
      <c r="F62" s="13"/>
      <c r="G62" s="18"/>
      <c r="H62" s="13"/>
      <c r="I62" s="28"/>
      <c r="J62" s="5"/>
      <c r="K62" s="5"/>
      <c r="L62" s="14"/>
      <c r="M62" s="19"/>
      <c r="N62" s="5"/>
      <c r="O62" s="5"/>
    </row>
    <row r="63" spans="1:15" s="12" customFormat="1" ht="13" x14ac:dyDescent="0.3">
      <c r="A63" s="70"/>
      <c r="B63" s="71"/>
      <c r="C63" s="115"/>
      <c r="D63" s="73"/>
      <c r="E63" s="73"/>
      <c r="F63" s="73"/>
      <c r="G63" s="73"/>
      <c r="H63" s="73"/>
      <c r="I63" s="74"/>
      <c r="J63" s="75"/>
      <c r="K63" s="75"/>
      <c r="L63" s="76"/>
      <c r="M63" s="77"/>
      <c r="N63" s="30"/>
      <c r="O63" s="31"/>
    </row>
    <row r="64" spans="1:15" s="12" customFormat="1" ht="13" x14ac:dyDescent="0.3">
      <c r="A64" s="70"/>
      <c r="B64" s="71"/>
      <c r="C64" s="115"/>
      <c r="D64" s="73"/>
      <c r="E64" s="73"/>
      <c r="F64" s="73"/>
      <c r="G64" s="73"/>
      <c r="H64" s="73"/>
      <c r="I64" s="74"/>
      <c r="J64" s="75"/>
      <c r="K64" s="75"/>
      <c r="L64" s="76"/>
      <c r="M64" s="77"/>
      <c r="N64" s="30"/>
      <c r="O64" s="31"/>
    </row>
    <row r="65" spans="1:15" s="12" customFormat="1" ht="13" x14ac:dyDescent="0.3">
      <c r="A65" s="70"/>
      <c r="B65" s="71"/>
      <c r="C65" s="115"/>
      <c r="D65" s="73"/>
      <c r="E65" s="73"/>
      <c r="F65" s="73"/>
      <c r="G65" s="73"/>
      <c r="H65" s="73"/>
      <c r="I65" s="74"/>
      <c r="J65" s="75"/>
      <c r="K65" s="75"/>
      <c r="L65" s="76"/>
      <c r="M65" s="77"/>
      <c r="N65" s="30"/>
      <c r="O65" s="31"/>
    </row>
    <row r="66" spans="1:15" s="16" customFormat="1" ht="13" x14ac:dyDescent="0.3">
      <c r="A66" s="70"/>
      <c r="B66" s="71"/>
      <c r="C66" s="115"/>
      <c r="D66" s="73"/>
      <c r="E66" s="73"/>
      <c r="F66" s="73"/>
      <c r="G66" s="73"/>
      <c r="H66" s="73"/>
      <c r="I66" s="74"/>
      <c r="J66" s="75"/>
      <c r="K66" s="75"/>
      <c r="L66" s="76"/>
      <c r="M66" s="77"/>
      <c r="N66" s="30"/>
      <c r="O66" s="31"/>
    </row>
    <row r="67" spans="1:15" s="16" customFormat="1" x14ac:dyDescent="0.25">
      <c r="A67" s="72"/>
      <c r="B67" s="71"/>
      <c r="C67" s="115"/>
      <c r="D67" s="73"/>
      <c r="E67" s="73"/>
      <c r="F67" s="73"/>
      <c r="G67" s="73"/>
      <c r="H67" s="73"/>
      <c r="I67" s="94"/>
      <c r="J67" s="75"/>
      <c r="K67" s="75"/>
      <c r="L67" s="76"/>
      <c r="M67" s="95"/>
      <c r="N67" s="17"/>
      <c r="O67" s="17"/>
    </row>
    <row r="68" spans="1:15" s="16" customFormat="1" x14ac:dyDescent="0.25">
      <c r="A68" s="72"/>
      <c r="B68" s="71"/>
      <c r="C68" s="115"/>
      <c r="D68" s="73"/>
      <c r="E68" s="73"/>
      <c r="F68" s="73"/>
      <c r="G68" s="73"/>
      <c r="H68" s="73"/>
      <c r="I68" s="94"/>
      <c r="J68" s="75"/>
      <c r="K68" s="75"/>
      <c r="L68" s="76"/>
      <c r="M68" s="95"/>
      <c r="N68" s="17"/>
      <c r="O68" s="17"/>
    </row>
    <row r="69" spans="1:15" s="16" customFormat="1" x14ac:dyDescent="0.25">
      <c r="A69" s="72"/>
      <c r="B69" s="71"/>
      <c r="C69" s="115"/>
      <c r="D69" s="73"/>
      <c r="E69" s="73"/>
      <c r="F69" s="73"/>
      <c r="G69" s="73"/>
      <c r="H69" s="73"/>
      <c r="I69" s="96"/>
      <c r="J69" s="75"/>
      <c r="K69" s="75"/>
      <c r="L69" s="76"/>
      <c r="M69" s="95"/>
      <c r="N69" s="17"/>
      <c r="O69" s="17"/>
    </row>
    <row r="70" spans="1:15" s="16" customFormat="1" x14ac:dyDescent="0.25">
      <c r="A70" s="72"/>
      <c r="B70" s="71"/>
      <c r="C70" s="115"/>
      <c r="D70" s="75"/>
      <c r="E70" s="75"/>
      <c r="F70" s="75"/>
      <c r="G70" s="73"/>
      <c r="H70" s="73"/>
      <c r="I70" s="86"/>
      <c r="J70" s="75"/>
      <c r="K70" s="75"/>
      <c r="L70" s="76"/>
      <c r="M70" s="95"/>
      <c r="N70" s="17"/>
      <c r="O70" s="17"/>
    </row>
    <row r="71" spans="1:15" s="16" customFormat="1" x14ac:dyDescent="0.25">
      <c r="A71" s="72"/>
      <c r="B71" s="71"/>
      <c r="C71" s="115"/>
      <c r="D71" s="75"/>
      <c r="E71" s="75"/>
      <c r="F71" s="75"/>
      <c r="G71" s="73"/>
      <c r="H71" s="85"/>
      <c r="I71" s="96"/>
      <c r="J71" s="75"/>
      <c r="K71" s="75"/>
      <c r="L71" s="76"/>
      <c r="M71" s="95"/>
      <c r="N71" s="17"/>
      <c r="O71" s="17"/>
    </row>
    <row r="72" spans="1:15" s="16" customFormat="1" x14ac:dyDescent="0.25">
      <c r="A72" s="72"/>
      <c r="B72" s="71"/>
      <c r="C72" s="115"/>
      <c r="D72" s="75"/>
      <c r="E72" s="75"/>
      <c r="F72" s="75"/>
      <c r="G72" s="73"/>
      <c r="H72" s="85"/>
      <c r="I72" s="96"/>
      <c r="J72" s="75"/>
      <c r="K72" s="75"/>
      <c r="L72" s="76"/>
      <c r="M72" s="95"/>
      <c r="N72" s="17"/>
      <c r="O72" s="17"/>
    </row>
    <row r="73" spans="1:15" s="16" customFormat="1" x14ac:dyDescent="0.25">
      <c r="A73" s="72"/>
      <c r="B73" s="71"/>
      <c r="C73" s="115"/>
      <c r="D73" s="75"/>
      <c r="E73" s="75"/>
      <c r="F73" s="75"/>
      <c r="G73" s="73"/>
      <c r="H73" s="85"/>
      <c r="I73" s="96"/>
      <c r="J73" s="75"/>
      <c r="K73" s="75"/>
      <c r="L73" s="76"/>
      <c r="M73" s="95"/>
      <c r="N73" s="17"/>
      <c r="O73" s="17"/>
    </row>
    <row r="74" spans="1:15" s="16" customFormat="1" x14ac:dyDescent="0.25">
      <c r="A74" s="72"/>
      <c r="B74" s="71"/>
      <c r="C74" s="115"/>
      <c r="D74" s="75"/>
      <c r="E74" s="75"/>
      <c r="F74" s="75"/>
      <c r="G74" s="73"/>
      <c r="H74" s="85"/>
      <c r="I74" s="96"/>
      <c r="J74" s="75"/>
      <c r="K74" s="75"/>
      <c r="L74" s="76"/>
      <c r="M74" s="95"/>
      <c r="N74" s="17"/>
      <c r="O74" s="17"/>
    </row>
    <row r="75" spans="1:15" s="16" customFormat="1" x14ac:dyDescent="0.25">
      <c r="A75" s="72"/>
      <c r="B75" s="71"/>
      <c r="C75" s="115"/>
      <c r="D75" s="75"/>
      <c r="E75" s="75"/>
      <c r="F75" s="75"/>
      <c r="G75" s="73"/>
      <c r="H75" s="85"/>
      <c r="I75" s="96"/>
      <c r="J75" s="75"/>
      <c r="K75" s="75"/>
      <c r="L75" s="76"/>
      <c r="M75" s="95"/>
      <c r="N75" s="17"/>
      <c r="O75" s="17"/>
    </row>
    <row r="76" spans="1:15" x14ac:dyDescent="0.25">
      <c r="A76" s="72"/>
      <c r="D76" s="75"/>
      <c r="E76" s="75"/>
      <c r="F76" s="75"/>
      <c r="G76" s="73"/>
      <c r="H76" s="85"/>
      <c r="I76" s="96"/>
      <c r="J76" s="75"/>
      <c r="K76" s="75"/>
      <c r="L76" s="76"/>
      <c r="M76" s="95"/>
      <c r="N76" s="17"/>
      <c r="O76" s="17"/>
    </row>
    <row r="77" spans="1:15" s="16" customFormat="1" x14ac:dyDescent="0.25">
      <c r="A77" s="72"/>
      <c r="B77" s="71"/>
      <c r="C77" s="115"/>
      <c r="D77" s="75"/>
      <c r="E77" s="75"/>
      <c r="F77" s="75"/>
      <c r="G77" s="73"/>
      <c r="H77" s="85"/>
      <c r="I77" s="96"/>
      <c r="J77" s="75"/>
      <c r="K77" s="75"/>
      <c r="L77" s="76"/>
      <c r="M77" s="95"/>
      <c r="N77" s="17"/>
      <c r="O77" s="17"/>
    </row>
    <row r="78" spans="1:15" s="16" customFormat="1" x14ac:dyDescent="0.25">
      <c r="A78" s="72"/>
      <c r="B78" s="71"/>
      <c r="C78" s="115"/>
      <c r="D78" s="75"/>
      <c r="E78" s="75"/>
      <c r="F78" s="75"/>
      <c r="G78" s="73"/>
      <c r="H78" s="85"/>
      <c r="I78" s="96"/>
      <c r="J78" s="75"/>
      <c r="K78" s="75"/>
      <c r="L78" s="76"/>
      <c r="M78" s="95"/>
      <c r="N78" s="17"/>
      <c r="O78" s="17"/>
    </row>
    <row r="79" spans="1:15" s="16" customFormat="1" x14ac:dyDescent="0.25">
      <c r="A79" s="72"/>
      <c r="B79" s="71"/>
      <c r="C79" s="115"/>
      <c r="D79" s="75"/>
      <c r="E79" s="75"/>
      <c r="F79" s="75"/>
      <c r="G79" s="73"/>
      <c r="H79" s="85"/>
      <c r="I79" s="96"/>
      <c r="J79" s="75"/>
      <c r="K79" s="75"/>
      <c r="L79" s="76"/>
      <c r="M79" s="95"/>
      <c r="N79" s="17"/>
      <c r="O79" s="17"/>
    </row>
    <row r="80" spans="1:15" s="16" customFormat="1" x14ac:dyDescent="0.25">
      <c r="A80" s="72"/>
      <c r="B80" s="71"/>
      <c r="C80" s="115"/>
      <c r="D80" s="75"/>
      <c r="E80" s="75"/>
      <c r="F80" s="75"/>
      <c r="G80" s="73"/>
      <c r="H80" s="85"/>
      <c r="I80" s="96"/>
      <c r="J80" s="75"/>
      <c r="K80" s="75"/>
      <c r="L80" s="76"/>
      <c r="M80" s="95"/>
      <c r="N80" s="17"/>
      <c r="O80" s="17"/>
    </row>
    <row r="81" spans="1:15" s="16" customFormat="1" x14ac:dyDescent="0.25">
      <c r="A81" s="22"/>
      <c r="B81" s="36"/>
      <c r="C81" s="114"/>
      <c r="D81" s="13"/>
      <c r="E81" s="13"/>
      <c r="F81" s="13"/>
      <c r="G81" s="18"/>
      <c r="H81" s="13"/>
      <c r="I81" s="28"/>
      <c r="J81" s="5"/>
      <c r="K81" s="5"/>
      <c r="L81" s="14"/>
      <c r="M81" s="19"/>
      <c r="N81" s="5"/>
      <c r="O81" s="5"/>
    </row>
    <row r="82" spans="1:15" s="16" customFormat="1" x14ac:dyDescent="0.25">
      <c r="A82" s="22"/>
      <c r="B82" s="36"/>
      <c r="C82" s="114"/>
      <c r="D82" s="13"/>
      <c r="E82" s="13"/>
      <c r="F82" s="13"/>
      <c r="G82" s="18"/>
      <c r="H82" s="13"/>
      <c r="I82" s="28"/>
      <c r="J82" s="5"/>
      <c r="K82" s="5"/>
      <c r="L82" s="14"/>
      <c r="M82" s="19"/>
      <c r="N82" s="5"/>
      <c r="O82" s="5"/>
    </row>
    <row r="85" spans="1:15" s="15" customFormat="1" ht="13" x14ac:dyDescent="0.25">
      <c r="A85" s="78"/>
      <c r="B85" s="71"/>
      <c r="C85" s="115"/>
      <c r="D85" s="79"/>
      <c r="E85" s="79"/>
      <c r="F85" s="79"/>
      <c r="G85" s="79"/>
      <c r="H85" s="79"/>
      <c r="I85" s="80"/>
      <c r="J85" s="81"/>
      <c r="K85" s="81"/>
      <c r="L85" s="82"/>
      <c r="M85" s="83"/>
    </row>
    <row r="86" spans="1:15" s="5" customFormat="1" x14ac:dyDescent="0.25">
      <c r="A86" s="84"/>
      <c r="B86" s="71"/>
      <c r="C86" s="115"/>
      <c r="D86" s="85"/>
      <c r="E86" s="85"/>
      <c r="F86" s="85"/>
      <c r="G86" s="85"/>
      <c r="H86" s="85"/>
      <c r="I86" s="86"/>
      <c r="J86" s="87"/>
      <c r="K86" s="87"/>
      <c r="L86" s="76"/>
      <c r="M86" s="88"/>
    </row>
    <row r="87" spans="1:15" s="5" customFormat="1" ht="13" x14ac:dyDescent="0.25">
      <c r="A87" s="78"/>
      <c r="B87" s="71"/>
      <c r="C87" s="115"/>
      <c r="D87" s="79"/>
      <c r="E87" s="79"/>
      <c r="F87" s="79"/>
      <c r="G87" s="79"/>
      <c r="H87" s="79"/>
      <c r="I87" s="80"/>
      <c r="J87" s="81"/>
      <c r="K87" s="81"/>
      <c r="L87" s="82"/>
      <c r="M87" s="83"/>
    </row>
    <row r="88" spans="1:15" s="5" customFormat="1" x14ac:dyDescent="0.25">
      <c r="A88" s="84"/>
      <c r="B88" s="71"/>
      <c r="C88" s="115"/>
      <c r="D88" s="85"/>
      <c r="E88" s="85"/>
      <c r="F88" s="85"/>
      <c r="G88" s="85"/>
      <c r="H88" s="85"/>
      <c r="I88" s="86"/>
      <c r="J88" s="87"/>
      <c r="K88" s="87"/>
      <c r="L88" s="84"/>
      <c r="M88" s="88"/>
    </row>
    <row r="89" spans="1:15" s="5" customFormat="1" x14ac:dyDescent="0.25">
      <c r="A89" s="84"/>
      <c r="B89" s="71"/>
      <c r="C89" s="115"/>
      <c r="D89" s="85"/>
      <c r="E89" s="85"/>
      <c r="F89" s="85"/>
      <c r="G89" s="85"/>
      <c r="H89" s="85"/>
      <c r="I89" s="86"/>
      <c r="J89" s="87"/>
      <c r="K89" s="87"/>
      <c r="L89" s="84"/>
      <c r="M89" s="88"/>
    </row>
    <row r="90" spans="1:15" s="5" customFormat="1" x14ac:dyDescent="0.25">
      <c r="A90" s="84"/>
      <c r="B90" s="71"/>
      <c r="C90" s="115"/>
      <c r="D90" s="85"/>
      <c r="E90" s="85"/>
      <c r="F90" s="85"/>
      <c r="G90" s="85"/>
      <c r="H90" s="85"/>
      <c r="I90" s="86"/>
      <c r="J90" s="87"/>
      <c r="K90" s="87"/>
      <c r="L90" s="84"/>
      <c r="M90" s="88"/>
    </row>
    <row r="91" spans="1:15" s="5" customFormat="1" x14ac:dyDescent="0.25">
      <c r="A91" s="84"/>
      <c r="B91" s="71"/>
      <c r="C91" s="115"/>
      <c r="D91" s="85"/>
      <c r="E91" s="85"/>
      <c r="F91" s="85"/>
      <c r="G91" s="85"/>
      <c r="H91" s="85"/>
      <c r="I91" s="86"/>
      <c r="J91" s="87"/>
      <c r="K91" s="87"/>
      <c r="L91" s="84"/>
      <c r="M91" s="88"/>
    </row>
    <row r="92" spans="1:15" s="5" customFormat="1" x14ac:dyDescent="0.25">
      <c r="A92" s="84"/>
      <c r="B92" s="71"/>
      <c r="C92" s="115"/>
      <c r="D92" s="85"/>
      <c r="E92" s="85"/>
      <c r="F92" s="85"/>
      <c r="G92" s="85"/>
      <c r="H92" s="85"/>
      <c r="I92" s="86"/>
      <c r="J92" s="87"/>
      <c r="K92" s="87"/>
      <c r="L92" s="84"/>
      <c r="M92" s="88"/>
    </row>
    <row r="93" spans="1:15" s="5" customFormat="1" x14ac:dyDescent="0.25">
      <c r="A93" s="84"/>
      <c r="B93" s="71"/>
      <c r="C93" s="115"/>
      <c r="D93" s="85"/>
      <c r="E93" s="85"/>
      <c r="F93" s="85"/>
      <c r="G93" s="85"/>
      <c r="H93" s="85"/>
      <c r="I93" s="86"/>
      <c r="J93" s="87"/>
      <c r="K93" s="87"/>
      <c r="L93" s="84"/>
      <c r="M93" s="88"/>
    </row>
    <row r="94" spans="1:15" s="5" customFormat="1" x14ac:dyDescent="0.25">
      <c r="A94" s="84"/>
      <c r="B94" s="71"/>
      <c r="C94" s="115"/>
      <c r="D94" s="85"/>
      <c r="E94" s="85"/>
      <c r="F94" s="85"/>
      <c r="G94" s="85"/>
      <c r="H94" s="85"/>
      <c r="I94" s="86"/>
      <c r="J94" s="87"/>
      <c r="K94" s="87"/>
      <c r="L94" s="84"/>
      <c r="M94" s="88"/>
    </row>
    <row r="95" spans="1:15" s="5" customFormat="1" x14ac:dyDescent="0.25">
      <c r="A95" s="84"/>
      <c r="B95" s="71"/>
      <c r="C95" s="115"/>
      <c r="D95" s="85"/>
      <c r="E95" s="85"/>
      <c r="F95" s="85"/>
      <c r="G95" s="85"/>
      <c r="H95" s="85"/>
      <c r="I95" s="86"/>
      <c r="J95" s="87"/>
      <c r="K95" s="87"/>
      <c r="L95" s="84"/>
      <c r="M95" s="88"/>
    </row>
    <row r="96" spans="1:15" s="5" customFormat="1" x14ac:dyDescent="0.25">
      <c r="A96" s="84"/>
      <c r="B96" s="71"/>
      <c r="C96" s="115"/>
      <c r="D96" s="85"/>
      <c r="E96" s="85"/>
      <c r="F96" s="85"/>
      <c r="G96" s="85"/>
      <c r="H96" s="85"/>
      <c r="I96" s="86"/>
      <c r="J96" s="87"/>
      <c r="K96" s="87"/>
      <c r="L96" s="84"/>
      <c r="M96" s="88"/>
    </row>
    <row r="97" spans="1:13" s="5" customFormat="1" x14ac:dyDescent="0.25">
      <c r="A97" s="84"/>
      <c r="B97" s="71"/>
      <c r="C97" s="115"/>
      <c r="D97" s="85"/>
      <c r="E97" s="85"/>
      <c r="F97" s="85"/>
      <c r="G97" s="85"/>
      <c r="H97" s="85"/>
      <c r="I97" s="86"/>
      <c r="J97" s="87"/>
      <c r="K97" s="87"/>
      <c r="L97" s="84"/>
      <c r="M97" s="88"/>
    </row>
    <row r="98" spans="1:13" s="5" customFormat="1" x14ac:dyDescent="0.25">
      <c r="A98" s="84"/>
      <c r="B98" s="71"/>
      <c r="C98" s="115"/>
      <c r="D98" s="85"/>
      <c r="E98" s="85"/>
      <c r="F98" s="85"/>
      <c r="G98" s="85"/>
      <c r="H98" s="85"/>
      <c r="I98" s="86"/>
      <c r="J98" s="87"/>
      <c r="K98" s="87"/>
      <c r="L98" s="84"/>
      <c r="M98" s="88"/>
    </row>
    <row r="99" spans="1:13" s="5" customFormat="1" x14ac:dyDescent="0.25">
      <c r="A99" s="84"/>
      <c r="B99" s="71"/>
      <c r="C99" s="115"/>
      <c r="D99" s="85"/>
      <c r="E99" s="85"/>
      <c r="F99" s="85"/>
      <c r="G99" s="85"/>
      <c r="H99" s="85"/>
      <c r="I99" s="86"/>
      <c r="J99" s="87"/>
      <c r="K99" s="87"/>
      <c r="L99" s="84"/>
      <c r="M99" s="88"/>
    </row>
    <row r="100" spans="1:13" s="5" customFormat="1" x14ac:dyDescent="0.25">
      <c r="A100" s="84"/>
      <c r="B100" s="71"/>
      <c r="C100" s="115"/>
      <c r="D100" s="85"/>
      <c r="E100" s="85"/>
      <c r="F100" s="85"/>
      <c r="G100" s="85"/>
      <c r="H100" s="85"/>
      <c r="I100" s="86"/>
      <c r="J100" s="87"/>
      <c r="K100" s="87"/>
      <c r="L100" s="84"/>
      <c r="M100" s="88"/>
    </row>
    <row r="101" spans="1:13" s="5" customFormat="1" x14ac:dyDescent="0.25">
      <c r="A101" s="84"/>
      <c r="B101" s="71"/>
      <c r="C101" s="115"/>
      <c r="D101" s="85"/>
      <c r="E101" s="85"/>
      <c r="F101" s="85"/>
      <c r="G101" s="85"/>
      <c r="H101" s="85"/>
      <c r="I101" s="86"/>
      <c r="J101" s="87"/>
      <c r="K101" s="87"/>
      <c r="L101" s="84"/>
      <c r="M101" s="88"/>
    </row>
    <row r="102" spans="1:13" s="5" customFormat="1" x14ac:dyDescent="0.25">
      <c r="A102" s="84"/>
      <c r="B102" s="71"/>
      <c r="C102" s="115"/>
      <c r="D102" s="85"/>
      <c r="E102" s="85"/>
      <c r="F102" s="85"/>
      <c r="G102" s="85"/>
      <c r="H102" s="85"/>
      <c r="I102" s="86"/>
      <c r="J102" s="87"/>
      <c r="K102" s="87"/>
      <c r="L102" s="84"/>
      <c r="M102" s="88"/>
    </row>
    <row r="103" spans="1:13" s="5" customFormat="1" x14ac:dyDescent="0.25">
      <c r="A103" s="84"/>
      <c r="B103" s="71"/>
      <c r="C103" s="115"/>
      <c r="D103" s="85"/>
      <c r="E103" s="85"/>
      <c r="F103" s="85"/>
      <c r="G103" s="85"/>
      <c r="H103" s="85"/>
      <c r="I103" s="86"/>
      <c r="J103" s="87"/>
      <c r="K103" s="87"/>
      <c r="L103" s="84"/>
      <c r="M103" s="88"/>
    </row>
    <row r="104" spans="1:13" s="5" customFormat="1" x14ac:dyDescent="0.25">
      <c r="A104" s="84"/>
      <c r="B104" s="71"/>
      <c r="C104" s="115"/>
      <c r="D104" s="85"/>
      <c r="E104" s="85"/>
      <c r="F104" s="85"/>
      <c r="G104" s="85"/>
      <c r="H104" s="85"/>
      <c r="I104" s="86"/>
      <c r="J104" s="87"/>
      <c r="K104" s="87"/>
      <c r="L104" s="84"/>
      <c r="M104" s="88"/>
    </row>
    <row r="105" spans="1:13" s="5" customFormat="1" x14ac:dyDescent="0.25">
      <c r="A105" s="84"/>
      <c r="B105" s="71"/>
      <c r="C105" s="115"/>
      <c r="D105" s="85"/>
      <c r="E105" s="85"/>
      <c r="F105" s="85"/>
      <c r="G105" s="85"/>
      <c r="H105" s="85"/>
      <c r="I105" s="86"/>
      <c r="J105" s="87"/>
      <c r="K105" s="87"/>
      <c r="L105" s="84"/>
      <c r="M105" s="88"/>
    </row>
    <row r="106" spans="1:13" s="5" customFormat="1" x14ac:dyDescent="0.25">
      <c r="A106" s="84"/>
      <c r="B106" s="71"/>
      <c r="C106" s="115"/>
      <c r="D106" s="85"/>
      <c r="E106" s="85"/>
      <c r="F106" s="85"/>
      <c r="G106" s="85"/>
      <c r="H106" s="85"/>
      <c r="I106" s="86"/>
      <c r="J106" s="87"/>
      <c r="K106" s="87"/>
      <c r="L106" s="84"/>
      <c r="M106" s="88"/>
    </row>
    <row r="107" spans="1:13" s="5" customFormat="1" x14ac:dyDescent="0.25">
      <c r="A107" s="84"/>
      <c r="B107" s="71"/>
      <c r="C107" s="115"/>
      <c r="D107" s="85"/>
      <c r="E107" s="85"/>
      <c r="F107" s="85"/>
      <c r="G107" s="85"/>
      <c r="H107" s="85"/>
      <c r="I107" s="86"/>
      <c r="J107" s="87"/>
      <c r="K107" s="87"/>
      <c r="L107" s="84"/>
      <c r="M107" s="88"/>
    </row>
    <row r="108" spans="1:13" s="5" customFormat="1" x14ac:dyDescent="0.25">
      <c r="A108" s="84"/>
      <c r="B108" s="71"/>
      <c r="C108" s="115"/>
      <c r="D108" s="85"/>
      <c r="E108" s="85"/>
      <c r="F108" s="85"/>
      <c r="G108" s="85"/>
      <c r="H108" s="85"/>
      <c r="I108" s="86"/>
      <c r="J108" s="87"/>
      <c r="K108" s="87"/>
      <c r="L108" s="84"/>
      <c r="M108" s="88"/>
    </row>
    <row r="109" spans="1:13" s="5" customFormat="1" x14ac:dyDescent="0.25">
      <c r="A109" s="84"/>
      <c r="B109" s="71"/>
      <c r="C109" s="115"/>
      <c r="D109" s="85"/>
      <c r="E109" s="85"/>
      <c r="F109" s="85"/>
      <c r="G109" s="85"/>
      <c r="H109" s="85"/>
      <c r="I109" s="86"/>
      <c r="J109" s="87"/>
      <c r="K109" s="87"/>
      <c r="L109" s="84"/>
      <c r="M109" s="88"/>
    </row>
    <row r="110" spans="1:13" s="5" customFormat="1" x14ac:dyDescent="0.25">
      <c r="A110" s="84"/>
      <c r="B110" s="71"/>
      <c r="C110" s="115"/>
      <c r="D110" s="85"/>
      <c r="E110" s="85"/>
      <c r="F110" s="85"/>
      <c r="G110" s="85"/>
      <c r="H110" s="85"/>
      <c r="I110" s="86"/>
      <c r="J110" s="87"/>
      <c r="K110" s="87"/>
      <c r="L110" s="84"/>
      <c r="M110" s="88"/>
    </row>
    <row r="111" spans="1:13" s="5" customFormat="1" x14ac:dyDescent="0.25">
      <c r="A111" s="84"/>
      <c r="B111" s="71"/>
      <c r="C111" s="115"/>
      <c r="D111" s="85"/>
      <c r="E111" s="85"/>
      <c r="F111" s="85"/>
      <c r="G111" s="85"/>
      <c r="H111" s="85"/>
      <c r="I111" s="86"/>
      <c r="J111" s="87"/>
      <c r="K111" s="87"/>
      <c r="L111" s="84"/>
      <c r="M111" s="88"/>
    </row>
    <row r="112" spans="1:13" s="5" customFormat="1" x14ac:dyDescent="0.25">
      <c r="A112" s="84"/>
      <c r="B112" s="71"/>
      <c r="C112" s="115"/>
      <c r="D112" s="85"/>
      <c r="E112" s="85"/>
      <c r="F112" s="85"/>
      <c r="G112" s="85"/>
      <c r="H112" s="85"/>
      <c r="I112" s="86"/>
      <c r="J112" s="87"/>
      <c r="K112" s="87"/>
      <c r="L112" s="84"/>
      <c r="M112" s="88"/>
    </row>
    <row r="113" spans="1:13" s="5" customFormat="1" x14ac:dyDescent="0.25">
      <c r="A113" s="84"/>
      <c r="B113" s="71"/>
      <c r="C113" s="115"/>
      <c r="D113" s="85"/>
      <c r="E113" s="85"/>
      <c r="F113" s="85"/>
      <c r="G113" s="85"/>
      <c r="H113" s="85"/>
      <c r="I113" s="86"/>
      <c r="J113" s="87"/>
      <c r="K113" s="87"/>
      <c r="L113" s="84"/>
      <c r="M113" s="88"/>
    </row>
    <row r="114" spans="1:13" s="5" customFormat="1" x14ac:dyDescent="0.25">
      <c r="A114" s="84"/>
      <c r="B114" s="71"/>
      <c r="C114" s="115"/>
      <c r="D114" s="85"/>
      <c r="E114" s="85"/>
      <c r="F114" s="85"/>
      <c r="G114" s="85"/>
      <c r="H114" s="85"/>
      <c r="I114" s="86"/>
      <c r="J114" s="87"/>
      <c r="K114" s="87"/>
      <c r="L114" s="84"/>
      <c r="M114" s="88"/>
    </row>
    <row r="115" spans="1:13" s="5" customFormat="1" x14ac:dyDescent="0.25">
      <c r="A115" s="84"/>
      <c r="B115" s="71"/>
      <c r="C115" s="115"/>
      <c r="D115" s="85"/>
      <c r="E115" s="85"/>
      <c r="F115" s="85"/>
      <c r="G115" s="85"/>
      <c r="H115" s="85"/>
      <c r="I115" s="86"/>
      <c r="J115" s="87"/>
      <c r="K115" s="87"/>
      <c r="L115" s="84"/>
      <c r="M115" s="88"/>
    </row>
    <row r="116" spans="1:13" s="5" customFormat="1" x14ac:dyDescent="0.25">
      <c r="A116" s="84"/>
      <c r="B116" s="71"/>
      <c r="C116" s="115"/>
      <c r="D116" s="85"/>
      <c r="E116" s="85"/>
      <c r="F116" s="85"/>
      <c r="G116" s="85"/>
      <c r="H116" s="85"/>
      <c r="I116" s="86"/>
      <c r="J116" s="87"/>
      <c r="K116" s="87"/>
      <c r="L116" s="84"/>
      <c r="M116" s="88"/>
    </row>
    <row r="117" spans="1:13" s="5" customFormat="1" x14ac:dyDescent="0.25">
      <c r="A117" s="84"/>
      <c r="B117" s="71"/>
      <c r="C117" s="115"/>
      <c r="D117" s="85"/>
      <c r="E117" s="85"/>
      <c r="F117" s="85"/>
      <c r="G117" s="85"/>
      <c r="H117" s="85"/>
      <c r="I117" s="86"/>
      <c r="J117" s="87"/>
      <c r="K117" s="87"/>
      <c r="L117" s="84"/>
      <c r="M117" s="88"/>
    </row>
    <row r="118" spans="1:13" s="5" customFormat="1" x14ac:dyDescent="0.25">
      <c r="A118" s="84"/>
      <c r="B118" s="71"/>
      <c r="C118" s="115"/>
      <c r="D118" s="85"/>
      <c r="E118" s="85"/>
      <c r="F118" s="85"/>
      <c r="G118" s="85"/>
      <c r="H118" s="85"/>
      <c r="I118" s="86"/>
      <c r="J118" s="87"/>
      <c r="K118" s="87"/>
      <c r="L118" s="84"/>
      <c r="M118" s="88"/>
    </row>
    <row r="119" spans="1:13" s="5" customFormat="1" x14ac:dyDescent="0.25">
      <c r="A119" s="84"/>
      <c r="B119" s="71"/>
      <c r="C119" s="115"/>
      <c r="D119" s="85"/>
      <c r="E119" s="85"/>
      <c r="F119" s="85"/>
      <c r="G119" s="85"/>
      <c r="H119" s="85"/>
      <c r="I119" s="86"/>
      <c r="J119" s="87"/>
      <c r="K119" s="87"/>
      <c r="L119" s="84"/>
      <c r="M119" s="88"/>
    </row>
    <row r="120" spans="1:13" s="5" customFormat="1" x14ac:dyDescent="0.25">
      <c r="A120" s="84"/>
      <c r="B120" s="71"/>
      <c r="C120" s="115"/>
      <c r="D120" s="85"/>
      <c r="E120" s="85"/>
      <c r="F120" s="85"/>
      <c r="G120" s="85"/>
      <c r="H120" s="85"/>
      <c r="I120" s="86"/>
      <c r="J120" s="87"/>
      <c r="K120" s="87"/>
      <c r="L120" s="84"/>
      <c r="M120" s="88"/>
    </row>
    <row r="121" spans="1:13" s="5" customFormat="1" x14ac:dyDescent="0.25">
      <c r="A121" s="84"/>
      <c r="B121" s="71"/>
      <c r="C121" s="115"/>
      <c r="D121" s="85"/>
      <c r="E121" s="85"/>
      <c r="F121" s="85"/>
      <c r="G121" s="85"/>
      <c r="H121" s="85"/>
      <c r="I121" s="86"/>
      <c r="J121" s="87"/>
      <c r="K121" s="87"/>
      <c r="L121" s="84"/>
      <c r="M121" s="88"/>
    </row>
    <row r="122" spans="1:13" s="5" customFormat="1" x14ac:dyDescent="0.25">
      <c r="A122" s="84"/>
      <c r="B122" s="71"/>
      <c r="C122" s="115"/>
      <c r="D122" s="85"/>
      <c r="E122" s="85"/>
      <c r="F122" s="85"/>
      <c r="G122" s="85"/>
      <c r="H122" s="85"/>
      <c r="I122" s="86"/>
      <c r="J122" s="87"/>
      <c r="K122" s="87"/>
      <c r="L122" s="84"/>
      <c r="M122" s="88"/>
    </row>
    <row r="123" spans="1:13" s="5" customFormat="1" x14ac:dyDescent="0.25">
      <c r="A123" s="84"/>
      <c r="B123" s="71"/>
      <c r="C123" s="115"/>
      <c r="D123" s="85"/>
      <c r="E123" s="85"/>
      <c r="F123" s="85"/>
      <c r="G123" s="85"/>
      <c r="H123" s="85"/>
      <c r="I123" s="86"/>
      <c r="J123" s="87"/>
      <c r="K123" s="87"/>
      <c r="L123" s="84"/>
      <c r="M123" s="88"/>
    </row>
    <row r="124" spans="1:13" s="5" customFormat="1" x14ac:dyDescent="0.25">
      <c r="A124" s="84"/>
      <c r="B124" s="71"/>
      <c r="C124" s="115"/>
      <c r="D124" s="85"/>
      <c r="E124" s="85"/>
      <c r="F124" s="85"/>
      <c r="G124" s="85"/>
      <c r="H124" s="85"/>
      <c r="I124" s="86"/>
      <c r="J124" s="87"/>
      <c r="K124" s="87"/>
      <c r="L124" s="84"/>
      <c r="M124" s="88"/>
    </row>
    <row r="125" spans="1:13" s="5" customFormat="1" x14ac:dyDescent="0.25">
      <c r="A125" s="84"/>
      <c r="B125" s="71"/>
      <c r="C125" s="115"/>
      <c r="D125" s="85"/>
      <c r="E125" s="85"/>
      <c r="F125" s="85"/>
      <c r="G125" s="85"/>
      <c r="H125" s="85"/>
      <c r="I125" s="86"/>
      <c r="J125" s="87"/>
      <c r="K125" s="87"/>
      <c r="L125" s="84"/>
      <c r="M125" s="88"/>
    </row>
    <row r="126" spans="1:13" s="5" customFormat="1" x14ac:dyDescent="0.25">
      <c r="A126" s="84"/>
      <c r="B126" s="71"/>
      <c r="C126" s="115"/>
      <c r="D126" s="85"/>
      <c r="E126" s="85"/>
      <c r="F126" s="85"/>
      <c r="G126" s="85"/>
      <c r="H126" s="85"/>
      <c r="I126" s="86"/>
      <c r="J126" s="87"/>
      <c r="K126" s="87"/>
      <c r="L126" s="84"/>
      <c r="M126" s="88"/>
    </row>
    <row r="127" spans="1:13" s="5" customFormat="1" x14ac:dyDescent="0.25">
      <c r="A127" s="84"/>
      <c r="B127" s="71"/>
      <c r="C127" s="115"/>
      <c r="D127" s="85"/>
      <c r="E127" s="85"/>
      <c r="F127" s="85"/>
      <c r="G127" s="85"/>
      <c r="H127" s="85"/>
      <c r="I127" s="86"/>
      <c r="J127" s="87"/>
      <c r="K127" s="87"/>
      <c r="L127" s="84"/>
      <c r="M127" s="88"/>
    </row>
    <row r="128" spans="1:13" s="5" customFormat="1" x14ac:dyDescent="0.25">
      <c r="A128" s="84"/>
      <c r="B128" s="71"/>
      <c r="C128" s="115"/>
      <c r="D128" s="85"/>
      <c r="E128" s="85"/>
      <c r="F128" s="85"/>
      <c r="G128" s="85"/>
      <c r="H128" s="85"/>
      <c r="I128" s="86"/>
      <c r="J128" s="87"/>
      <c r="K128" s="87"/>
      <c r="L128" s="84"/>
      <c r="M128" s="88"/>
    </row>
    <row r="129" spans="1:13" s="5" customFormat="1" x14ac:dyDescent="0.25">
      <c r="A129" s="84"/>
      <c r="B129" s="71"/>
      <c r="C129" s="115"/>
      <c r="D129" s="85"/>
      <c r="E129" s="85"/>
      <c r="F129" s="85"/>
      <c r="G129" s="85"/>
      <c r="H129" s="85"/>
      <c r="I129" s="86"/>
      <c r="J129" s="87"/>
      <c r="K129" s="87"/>
      <c r="L129" s="84"/>
      <c r="M129" s="88"/>
    </row>
    <row r="130" spans="1:13" s="5" customFormat="1" x14ac:dyDescent="0.25">
      <c r="A130" s="84"/>
      <c r="B130" s="71"/>
      <c r="C130" s="115"/>
      <c r="D130" s="85"/>
      <c r="E130" s="85"/>
      <c r="F130" s="85"/>
      <c r="G130" s="85"/>
      <c r="H130" s="85"/>
      <c r="I130" s="86"/>
      <c r="J130" s="87"/>
      <c r="K130" s="87"/>
      <c r="L130" s="84"/>
      <c r="M130" s="88"/>
    </row>
    <row r="131" spans="1:13" s="5" customFormat="1" x14ac:dyDescent="0.25">
      <c r="A131" s="84"/>
      <c r="B131" s="71"/>
      <c r="C131" s="115"/>
      <c r="D131" s="85"/>
      <c r="E131" s="85"/>
      <c r="F131" s="85"/>
      <c r="G131" s="85"/>
      <c r="H131" s="85"/>
      <c r="I131" s="86"/>
      <c r="J131" s="87"/>
      <c r="K131" s="87"/>
      <c r="L131" s="84"/>
      <c r="M131" s="88"/>
    </row>
    <row r="132" spans="1:13" s="5" customFormat="1" x14ac:dyDescent="0.25">
      <c r="A132" s="84"/>
      <c r="B132" s="71"/>
      <c r="C132" s="115"/>
      <c r="D132" s="85"/>
      <c r="E132" s="85"/>
      <c r="F132" s="85"/>
      <c r="G132" s="85"/>
      <c r="H132" s="85"/>
      <c r="I132" s="86"/>
      <c r="J132" s="87"/>
      <c r="K132" s="87"/>
      <c r="L132" s="84"/>
      <c r="M132" s="88"/>
    </row>
    <row r="133" spans="1:13" s="5" customFormat="1" x14ac:dyDescent="0.25">
      <c r="A133" s="84"/>
      <c r="B133" s="71"/>
      <c r="C133" s="115"/>
      <c r="D133" s="85"/>
      <c r="E133" s="85"/>
      <c r="F133" s="85"/>
      <c r="G133" s="85"/>
      <c r="H133" s="85"/>
      <c r="I133" s="86"/>
      <c r="J133" s="87"/>
      <c r="K133" s="87"/>
      <c r="L133" s="84"/>
      <c r="M133" s="88"/>
    </row>
  </sheetData>
  <autoFilter ref="A1:O82" xr:uid="{00000000-0009-0000-0000-000003000000}">
    <sortState xmlns:xlrd2="http://schemas.microsoft.com/office/spreadsheetml/2017/richdata2" ref="A2:Q72">
      <sortCondition ref="B1:B72"/>
    </sortState>
  </autoFilter>
  <printOptions gridLines="1"/>
  <pageMargins left="0.75" right="0.75" top="1" bottom="1" header="0.5" footer="0.5"/>
  <pageSetup scale="41" orientation="landscape" r:id="rId1"/>
  <headerFooter alignWithMargins="0">
    <oddHeader>&amp;L&amp;D&amp;C&amp;F - &amp;A&amp;R&amp;T</oddHeader>
    <oddFooter>Page &amp;P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AA125"/>
  <sheetViews>
    <sheetView zoomScale="85" workbookViewId="0">
      <pane xSplit="3" ySplit="1" topLeftCell="D108" activePane="bottomRight" state="frozenSplit"/>
      <selection pane="topRight" activeCell="D1" sqref="D1"/>
      <selection pane="bottomLeft" activeCell="A105" sqref="A105"/>
      <selection pane="bottomRight" activeCell="A113" sqref="A113"/>
    </sheetView>
  </sheetViews>
  <sheetFormatPr defaultColWidth="9.1796875" defaultRowHeight="12.5" x14ac:dyDescent="0.25"/>
  <cols>
    <col min="1" max="1" width="4.26953125" style="1" customWidth="1"/>
    <col min="2" max="2" width="8.54296875" style="2" customWidth="1"/>
    <col min="3" max="3" width="17.7265625" style="36" customWidth="1"/>
    <col min="4" max="4" width="9" style="123" customWidth="1"/>
    <col min="5" max="5" width="10" style="126" customWidth="1"/>
    <col min="6" max="6" width="10.26953125" style="114" customWidth="1"/>
    <col min="7" max="8" width="6.54296875" style="3" customWidth="1"/>
    <col min="9" max="9" width="5" style="3" customWidth="1"/>
    <col min="10" max="12" width="5" style="119" customWidth="1"/>
    <col min="13" max="13" width="5.453125" style="3" customWidth="1"/>
    <col min="14" max="14" width="4.81640625" style="139" customWidth="1"/>
    <col min="15" max="15" width="2.7265625" style="1" customWidth="1"/>
    <col min="16" max="16" width="2.81640625" style="1" customWidth="1"/>
    <col min="17" max="17" width="40.7265625" style="2" customWidth="1"/>
    <col min="18" max="18" width="12.453125" style="4" bestFit="1" customWidth="1"/>
    <col min="19" max="19" width="12.453125" style="145" customWidth="1"/>
    <col min="20" max="20" width="12.453125" style="4" customWidth="1"/>
    <col min="21" max="22" width="10.26953125" style="114" customWidth="1"/>
    <col min="23" max="25" width="8.81640625" style="134" customWidth="1"/>
    <col min="26" max="26" width="9.1796875" style="1"/>
    <col min="27" max="27" width="21.81640625" style="1" bestFit="1" customWidth="1"/>
    <col min="28" max="16384" width="9.1796875" style="1"/>
  </cols>
  <sheetData>
    <row r="1" spans="1:26" s="12" customFormat="1" ht="54.75" customHeight="1" x14ac:dyDescent="0.35">
      <c r="A1" s="34" t="s">
        <v>486</v>
      </c>
      <c r="B1" s="34" t="s">
        <v>233</v>
      </c>
      <c r="C1" s="35" t="s">
        <v>490</v>
      </c>
      <c r="D1" s="122" t="s">
        <v>492</v>
      </c>
      <c r="E1" s="125" t="s">
        <v>493</v>
      </c>
      <c r="F1" s="116" t="s">
        <v>494</v>
      </c>
      <c r="G1" s="8" t="s">
        <v>153</v>
      </c>
      <c r="H1" s="8" t="s">
        <v>420</v>
      </c>
      <c r="I1" s="8" t="s">
        <v>135</v>
      </c>
      <c r="J1" s="118" t="s">
        <v>5</v>
      </c>
      <c r="K1" s="118" t="s">
        <v>495</v>
      </c>
      <c r="L1" s="118" t="s">
        <v>496</v>
      </c>
      <c r="M1" s="8" t="s">
        <v>131</v>
      </c>
      <c r="N1" s="138" t="s">
        <v>132</v>
      </c>
      <c r="O1" s="9" t="s">
        <v>12</v>
      </c>
      <c r="P1" s="9" t="s">
        <v>156</v>
      </c>
      <c r="Q1" s="10" t="s">
        <v>155</v>
      </c>
      <c r="R1" s="11" t="s">
        <v>157</v>
      </c>
      <c r="S1" s="144" t="s">
        <v>589</v>
      </c>
      <c r="T1" s="146" t="s">
        <v>590</v>
      </c>
      <c r="U1" s="116" t="s">
        <v>567</v>
      </c>
      <c r="V1" s="116" t="s">
        <v>568</v>
      </c>
      <c r="W1" s="133" t="s">
        <v>570</v>
      </c>
      <c r="X1" s="137" t="s">
        <v>588</v>
      </c>
      <c r="Y1" s="137" t="s">
        <v>591</v>
      </c>
      <c r="Z1" s="132">
        <v>40112.662766203706</v>
      </c>
    </row>
    <row r="2" spans="1:26" x14ac:dyDescent="0.25">
      <c r="C2" s="36">
        <v>27733.0625</v>
      </c>
      <c r="D2" s="123">
        <v>0.01</v>
      </c>
      <c r="E2" s="126">
        <v>323.5</v>
      </c>
      <c r="F2" s="114">
        <v>353</v>
      </c>
      <c r="G2" s="3">
        <v>16.5</v>
      </c>
      <c r="H2" s="3">
        <v>-1.7</v>
      </c>
      <c r="I2" s="18">
        <f t="shared" ref="I2:I78" si="0">-LOG((1/(G2^2))*(2.511^(-H2)))/LOG(2.511)</f>
        <v>4.3897534255234554</v>
      </c>
      <c r="J2" s="119" t="s">
        <v>435</v>
      </c>
      <c r="M2" s="3">
        <v>28</v>
      </c>
      <c r="O2" s="1">
        <v>1</v>
      </c>
      <c r="P2" s="1">
        <v>0</v>
      </c>
      <c r="R2" s="4">
        <v>40290</v>
      </c>
      <c r="S2" s="145">
        <f>0.6*8/3</f>
        <v>1.5999999999999999</v>
      </c>
      <c r="T2" s="145">
        <f t="shared" ref="T2:T7" si="1">1/SIN(RADIANS(M2+244/(165+47*M2^1.1)))</f>
        <v>2.1215691912932564</v>
      </c>
      <c r="U2" s="114">
        <f t="shared" ref="U2:U8" si="2">DEGREES(ASIN(SIN(RADIANS(F2))*SIN(RADIANS(25.19))))</f>
        <v>-2.9732776094067024</v>
      </c>
      <c r="W2" s="120">
        <f>668.5921*MOD((C2-Z$1),686.9726)/686.9726</f>
        <v>654.87571572875777</v>
      </c>
      <c r="X2" s="147">
        <f t="shared" ref="X2:X7" si="3">(S2/(G2/2))*T2/(IF(ISBLANK(N2),0.5,N2))</f>
        <v>0.82291168631980838</v>
      </c>
      <c r="Y2" s="147">
        <f t="shared" ref="Y2:Y7" si="4">0.1/X2</f>
        <v>0.1215197227872846</v>
      </c>
    </row>
    <row r="3" spans="1:26" s="12" customFormat="1" ht="13" x14ac:dyDescent="0.3">
      <c r="B3" s="23"/>
      <c r="C3" s="36">
        <v>27733.5</v>
      </c>
      <c r="D3" s="123">
        <v>0.01</v>
      </c>
      <c r="E3" s="126">
        <v>117.1</v>
      </c>
      <c r="F3" s="114">
        <v>353</v>
      </c>
      <c r="G3" s="3">
        <v>16.5</v>
      </c>
      <c r="H3" s="3">
        <v>-1.7</v>
      </c>
      <c r="I3" s="18">
        <f t="shared" si="0"/>
        <v>4.3897534255234554</v>
      </c>
      <c r="J3" s="120" t="s">
        <v>435</v>
      </c>
      <c r="K3" s="120"/>
      <c r="L3" s="120"/>
      <c r="M3" s="18">
        <v>21</v>
      </c>
      <c r="N3" s="140"/>
      <c r="O3" s="17">
        <v>1</v>
      </c>
      <c r="P3" s="17">
        <v>0</v>
      </c>
      <c r="Q3" s="14"/>
      <c r="R3" s="4">
        <v>40290</v>
      </c>
      <c r="S3" s="145">
        <f>0.6*8/3</f>
        <v>1.5999999999999999</v>
      </c>
      <c r="T3" s="145">
        <f t="shared" si="1"/>
        <v>2.7699966502462186</v>
      </c>
      <c r="U3" s="114">
        <f t="shared" si="2"/>
        <v>-2.9732776094067024</v>
      </c>
      <c r="V3" s="114"/>
      <c r="W3" s="120">
        <f t="shared" ref="W3:W70" si="5">668.5921*MOD((C3-Z$1),686.9726)/686.9726</f>
        <v>655.30151006720735</v>
      </c>
      <c r="X3" s="147">
        <f t="shared" si="3"/>
        <v>1.0744229431258059</v>
      </c>
      <c r="Y3" s="147">
        <f t="shared" si="4"/>
        <v>9.3073217246339879E-2</v>
      </c>
    </row>
    <row r="4" spans="1:26" s="12" customFormat="1" ht="13" x14ac:dyDescent="0.3">
      <c r="B4" s="23"/>
      <c r="C4" s="36">
        <v>27746.09375</v>
      </c>
      <c r="D4" s="123">
        <v>0</v>
      </c>
      <c r="E4" s="126">
        <v>220.3</v>
      </c>
      <c r="F4" s="114">
        <v>359</v>
      </c>
      <c r="G4" s="18">
        <v>16.3</v>
      </c>
      <c r="H4" s="18">
        <v>-1.7</v>
      </c>
      <c r="I4" s="18">
        <f t="shared" si="0"/>
        <v>4.3632615743137091</v>
      </c>
      <c r="J4" s="120" t="s">
        <v>435</v>
      </c>
      <c r="K4" s="120"/>
      <c r="L4" s="120"/>
      <c r="M4" s="18">
        <v>51</v>
      </c>
      <c r="N4" s="140"/>
      <c r="O4" s="17">
        <v>1</v>
      </c>
      <c r="P4" s="17">
        <v>0</v>
      </c>
      <c r="Q4" s="14"/>
      <c r="R4" s="4">
        <v>40290</v>
      </c>
      <c r="S4" s="145">
        <f>0.6*8/3</f>
        <v>1.5999999999999999</v>
      </c>
      <c r="T4" s="145">
        <f t="shared" si="1"/>
        <v>1.2855675636746287</v>
      </c>
      <c r="U4" s="114">
        <f t="shared" si="2"/>
        <v>-0.42560366866212512</v>
      </c>
      <c r="V4" s="114"/>
      <c r="W4" s="120">
        <f t="shared" si="5"/>
        <v>667.55830423829218</v>
      </c>
      <c r="X4" s="147">
        <f t="shared" si="3"/>
        <v>0.50476272438758418</v>
      </c>
      <c r="Y4" s="147">
        <f t="shared" si="4"/>
        <v>0.19811288585409603</v>
      </c>
    </row>
    <row r="5" spans="1:26" s="12" customFormat="1" ht="13" x14ac:dyDescent="0.3">
      <c r="B5" s="23"/>
      <c r="C5" s="36">
        <v>27746.104166666668</v>
      </c>
      <c r="D5" s="123">
        <v>0</v>
      </c>
      <c r="E5" s="126">
        <v>224</v>
      </c>
      <c r="F5" s="114">
        <v>359</v>
      </c>
      <c r="G5" s="18">
        <v>16.3</v>
      </c>
      <c r="H5" s="18">
        <v>-1.7</v>
      </c>
      <c r="I5" s="18">
        <f t="shared" si="0"/>
        <v>4.3632615743137091</v>
      </c>
      <c r="J5" s="120" t="s">
        <v>435</v>
      </c>
      <c r="K5" s="120"/>
      <c r="L5" s="120"/>
      <c r="M5" s="18">
        <v>53</v>
      </c>
      <c r="N5" s="140"/>
      <c r="O5" s="17">
        <v>1</v>
      </c>
      <c r="P5" s="17">
        <v>0</v>
      </c>
      <c r="Q5" s="14"/>
      <c r="R5" s="4">
        <v>40290</v>
      </c>
      <c r="S5" s="145">
        <f>0.6*8/3</f>
        <v>1.5999999999999999</v>
      </c>
      <c r="T5" s="145">
        <f t="shared" si="1"/>
        <v>1.2510990073757973</v>
      </c>
      <c r="U5" s="114">
        <f t="shared" si="2"/>
        <v>-0.42560366866212512</v>
      </c>
      <c r="V5" s="114"/>
      <c r="W5" s="120">
        <f t="shared" si="5"/>
        <v>667.56844219873278</v>
      </c>
      <c r="X5" s="147">
        <f t="shared" si="3"/>
        <v>0.49122905811074241</v>
      </c>
      <c r="Y5" s="147">
        <f t="shared" si="4"/>
        <v>0.20357101915875681</v>
      </c>
    </row>
    <row r="6" spans="1:26" s="12" customFormat="1" ht="13" x14ac:dyDescent="0.3">
      <c r="B6" s="23"/>
      <c r="C6" s="36">
        <v>27748.041666666668</v>
      </c>
      <c r="D6" s="123">
        <v>0</v>
      </c>
      <c r="E6" s="126">
        <v>184.4</v>
      </c>
      <c r="F6" s="114">
        <v>0</v>
      </c>
      <c r="G6" s="18">
        <v>16.2</v>
      </c>
      <c r="H6" s="18">
        <v>-1.7</v>
      </c>
      <c r="I6" s="18">
        <f t="shared" si="0"/>
        <v>4.3498935021182739</v>
      </c>
      <c r="J6" s="120" t="s">
        <v>435</v>
      </c>
      <c r="K6" s="120"/>
      <c r="L6" s="120"/>
      <c r="M6" s="18">
        <v>39</v>
      </c>
      <c r="N6" s="140"/>
      <c r="O6" s="17">
        <v>1</v>
      </c>
      <c r="P6" s="17">
        <v>0</v>
      </c>
      <c r="Q6" s="14"/>
      <c r="R6" s="4">
        <v>40290</v>
      </c>
      <c r="S6" s="145">
        <f>0.6*8/3</f>
        <v>1.5999999999999999</v>
      </c>
      <c r="T6" s="145">
        <f t="shared" si="1"/>
        <v>1.5860482424309197</v>
      </c>
      <c r="U6" s="114">
        <f t="shared" si="2"/>
        <v>0</v>
      </c>
      <c r="V6" s="114"/>
      <c r="W6" s="120">
        <f t="shared" si="5"/>
        <v>0.86200284043811659</v>
      </c>
      <c r="X6" s="147">
        <f t="shared" si="3"/>
        <v>0.62658695997270897</v>
      </c>
      <c r="Y6" s="147">
        <f t="shared" si="4"/>
        <v>0.15959476718818966</v>
      </c>
    </row>
    <row r="7" spans="1:26" s="12" customFormat="1" ht="87.5" x14ac:dyDescent="0.3">
      <c r="B7" s="23"/>
      <c r="C7" s="36">
        <v>28290.375</v>
      </c>
      <c r="D7" s="123">
        <v>0.08</v>
      </c>
      <c r="E7" s="126">
        <v>85.6</v>
      </c>
      <c r="F7" s="114">
        <v>279</v>
      </c>
      <c r="G7" s="18">
        <v>5</v>
      </c>
      <c r="H7" s="18">
        <v>1.1000000000000001</v>
      </c>
      <c r="I7" s="18">
        <f t="shared" si="0"/>
        <v>4.5961898253136706</v>
      </c>
      <c r="J7" s="120" t="s">
        <v>435</v>
      </c>
      <c r="K7" s="120"/>
      <c r="L7" s="120"/>
      <c r="M7" s="18">
        <v>16</v>
      </c>
      <c r="N7" s="140"/>
      <c r="O7" s="17">
        <v>1</v>
      </c>
      <c r="P7" s="17">
        <v>0</v>
      </c>
      <c r="Q7" s="14" t="s">
        <v>569</v>
      </c>
      <c r="R7" s="4">
        <v>40336</v>
      </c>
      <c r="S7" s="145">
        <v>0.6</v>
      </c>
      <c r="T7" s="145">
        <f t="shared" si="1"/>
        <v>3.5820108550863048</v>
      </c>
      <c r="U7" s="114">
        <f t="shared" si="2"/>
        <v>-24.858660219368051</v>
      </c>
      <c r="V7" s="114">
        <v>-18.100000000000001</v>
      </c>
      <c r="W7" s="120">
        <f t="shared" si="5"/>
        <v>528.68477515090945</v>
      </c>
      <c r="X7" s="147">
        <f t="shared" si="3"/>
        <v>1.7193652104414263</v>
      </c>
      <c r="Y7" s="147">
        <f t="shared" si="4"/>
        <v>5.8160999997392181E-2</v>
      </c>
    </row>
    <row r="8" spans="1:26" s="12" customFormat="1" ht="112.5" x14ac:dyDescent="0.3">
      <c r="B8" s="23"/>
      <c r="C8" s="36">
        <v>28292.375</v>
      </c>
      <c r="D8" s="123">
        <v>0.08</v>
      </c>
      <c r="E8" s="126">
        <v>65.900000000000006</v>
      </c>
      <c r="F8" s="114">
        <v>280</v>
      </c>
      <c r="G8" s="18">
        <v>5</v>
      </c>
      <c r="H8" s="18">
        <v>1.1000000000000001</v>
      </c>
      <c r="I8" s="18">
        <f t="shared" si="0"/>
        <v>4.5961898253136706</v>
      </c>
      <c r="J8" s="120" t="s">
        <v>435</v>
      </c>
      <c r="K8" s="120"/>
      <c r="L8" s="120"/>
      <c r="M8" s="18">
        <v>17</v>
      </c>
      <c r="N8" s="140"/>
      <c r="O8" s="17">
        <v>1</v>
      </c>
      <c r="P8" s="17">
        <v>0</v>
      </c>
      <c r="Q8" s="14" t="s">
        <v>571</v>
      </c>
      <c r="R8" s="4">
        <v>40336</v>
      </c>
      <c r="S8" s="145">
        <v>0.6</v>
      </c>
      <c r="T8" s="145">
        <f t="shared" ref="T8:T71" si="6">1/SIN(RADIANS(M8+244/(165+47*M8^1.1)))</f>
        <v>3.381891101439078</v>
      </c>
      <c r="U8" s="114">
        <f t="shared" si="2"/>
        <v>-24.781264362701716</v>
      </c>
      <c r="V8" s="114">
        <v>-17.600000000000001</v>
      </c>
      <c r="W8" s="120">
        <f t="shared" si="5"/>
        <v>530.63126355525048</v>
      </c>
      <c r="X8" s="147">
        <f t="shared" ref="X8:X71" si="7">(S8/(G8/2))*T8/(IF(ISBLANK(N8),0.5,N8))</f>
        <v>1.6233077286907573</v>
      </c>
      <c r="Y8" s="147">
        <f t="shared" ref="Y8:Y71" si="8">0.1/X8</f>
        <v>6.1602614361143206E-2</v>
      </c>
    </row>
    <row r="9" spans="1:26" s="12" customFormat="1" ht="37.5" x14ac:dyDescent="0.3">
      <c r="B9" s="23"/>
      <c r="C9" s="36">
        <v>28412.458333333332</v>
      </c>
      <c r="D9" s="123">
        <v>0.12</v>
      </c>
      <c r="E9" s="126">
        <v>12</v>
      </c>
      <c r="F9" s="114">
        <v>349</v>
      </c>
      <c r="G9" s="18">
        <v>7.7</v>
      </c>
      <c r="H9" s="18">
        <v>0.5</v>
      </c>
      <c r="I9" s="18">
        <f t="shared" si="0"/>
        <v>4.9341528740237752</v>
      </c>
      <c r="J9" s="120" t="s">
        <v>435</v>
      </c>
      <c r="K9" s="120"/>
      <c r="L9" s="120"/>
      <c r="M9" s="18">
        <v>68</v>
      </c>
      <c r="N9" s="140"/>
      <c r="O9" s="17">
        <v>1</v>
      </c>
      <c r="P9" s="17">
        <v>0</v>
      </c>
      <c r="Q9" s="14" t="s">
        <v>574</v>
      </c>
      <c r="R9" s="4">
        <v>40336</v>
      </c>
      <c r="S9" s="145">
        <v>0.6</v>
      </c>
      <c r="T9" s="145">
        <f t="shared" si="6"/>
        <v>1.0781669603789994</v>
      </c>
      <c r="U9" s="114">
        <f t="shared" ref="U9:U76" si="9">DEGREES(ASIN(SIN(RADIANS(F9))*SIN(RADIANS(25.19))))</f>
        <v>-4.658257039035262</v>
      </c>
      <c r="V9" s="114">
        <v>12.8</v>
      </c>
      <c r="W9" s="120">
        <f t="shared" si="5"/>
        <v>647.50167149922447</v>
      </c>
      <c r="X9" s="147">
        <f t="shared" si="7"/>
        <v>0.33605203959864915</v>
      </c>
      <c r="Y9" s="147">
        <f t="shared" si="8"/>
        <v>0.29757295959111324</v>
      </c>
    </row>
    <row r="10" spans="1:26" s="12" customFormat="1" ht="37.5" x14ac:dyDescent="0.3">
      <c r="B10" s="23"/>
      <c r="C10" s="36">
        <v>28412.434027777777</v>
      </c>
      <c r="D10" s="123">
        <v>0.12</v>
      </c>
      <c r="E10" s="126">
        <v>3.9</v>
      </c>
      <c r="F10" s="114">
        <v>349</v>
      </c>
      <c r="G10" s="18">
        <v>7.7</v>
      </c>
      <c r="H10" s="18">
        <v>0.5</v>
      </c>
      <c r="I10" s="18">
        <f t="shared" si="0"/>
        <v>4.9341528740237752</v>
      </c>
      <c r="J10" s="120" t="s">
        <v>435</v>
      </c>
      <c r="K10" s="120"/>
      <c r="L10" s="120"/>
      <c r="M10" s="18">
        <v>64</v>
      </c>
      <c r="N10" s="140"/>
      <c r="O10" s="17">
        <v>0</v>
      </c>
      <c r="P10" s="17">
        <v>1</v>
      </c>
      <c r="Q10" s="14" t="s">
        <v>572</v>
      </c>
      <c r="R10" s="4">
        <v>40336</v>
      </c>
      <c r="S10" s="145">
        <v>0.6</v>
      </c>
      <c r="T10" s="145">
        <f t="shared" si="6"/>
        <v>1.1121134441818672</v>
      </c>
      <c r="U10" s="114">
        <f t="shared" si="9"/>
        <v>-4.658257039035262</v>
      </c>
      <c r="V10" s="114">
        <v>12.8</v>
      </c>
      <c r="W10" s="120">
        <f t="shared" si="5"/>
        <v>647.47801625820034</v>
      </c>
      <c r="X10" s="147">
        <f t="shared" si="7"/>
        <v>0.34663276182291963</v>
      </c>
      <c r="Y10" s="147">
        <f t="shared" si="8"/>
        <v>0.28848975346157812</v>
      </c>
    </row>
    <row r="11" spans="1:26" s="12" customFormat="1" ht="62.5" x14ac:dyDescent="0.3">
      <c r="B11" s="23"/>
      <c r="C11" s="36">
        <v>28413.4375</v>
      </c>
      <c r="D11" s="123">
        <v>0.12</v>
      </c>
      <c r="E11" s="126">
        <v>355.2</v>
      </c>
      <c r="F11" s="114">
        <v>349</v>
      </c>
      <c r="G11" s="18">
        <v>7.7</v>
      </c>
      <c r="H11" s="18">
        <v>0.5</v>
      </c>
      <c r="I11" s="18">
        <f t="shared" si="0"/>
        <v>4.9341528740237752</v>
      </c>
      <c r="J11" s="120" t="s">
        <v>435</v>
      </c>
      <c r="K11" s="120"/>
      <c r="L11" s="120"/>
      <c r="M11" s="18">
        <v>65</v>
      </c>
      <c r="N11" s="140"/>
      <c r="O11" s="17">
        <v>1</v>
      </c>
      <c r="P11" s="17">
        <v>0</v>
      </c>
      <c r="Q11" s="14" t="s">
        <v>573</v>
      </c>
      <c r="R11" s="4">
        <v>40336</v>
      </c>
      <c r="S11" s="145">
        <v>0.6</v>
      </c>
      <c r="T11" s="145">
        <f t="shared" si="6"/>
        <v>1.1029223164254509</v>
      </c>
      <c r="U11" s="114">
        <f t="shared" si="9"/>
        <v>-4.658257039035262</v>
      </c>
      <c r="V11" s="114">
        <v>12.8</v>
      </c>
      <c r="W11" s="120">
        <f t="shared" si="5"/>
        <v>648.4546397805176</v>
      </c>
      <c r="X11" s="147">
        <f t="shared" si="7"/>
        <v>0.34376799473001068</v>
      </c>
      <c r="Y11" s="147">
        <f t="shared" si="8"/>
        <v>0.29089386310828103</v>
      </c>
    </row>
    <row r="12" spans="1:26" s="12" customFormat="1" ht="25" x14ac:dyDescent="0.3">
      <c r="B12" s="23"/>
      <c r="C12" s="36">
        <v>28456.145833333332</v>
      </c>
      <c r="D12" s="123">
        <v>0.09</v>
      </c>
      <c r="E12" s="126">
        <v>207</v>
      </c>
      <c r="F12" s="114">
        <v>10</v>
      </c>
      <c r="G12" s="18">
        <v>10.5</v>
      </c>
      <c r="H12" s="18">
        <v>-0.2</v>
      </c>
      <c r="I12" s="18">
        <f t="shared" si="0"/>
        <v>4.9079039371926534</v>
      </c>
      <c r="J12" s="120" t="s">
        <v>435</v>
      </c>
      <c r="K12" s="120"/>
      <c r="L12" s="120"/>
      <c r="M12" s="18">
        <v>8</v>
      </c>
      <c r="N12" s="140"/>
      <c r="O12" s="17">
        <v>0</v>
      </c>
      <c r="P12" s="17">
        <v>1</v>
      </c>
      <c r="Q12" s="14" t="s">
        <v>498</v>
      </c>
      <c r="R12" s="6">
        <v>40290</v>
      </c>
      <c r="S12" s="145">
        <v>0.6</v>
      </c>
      <c r="T12" s="145">
        <f t="shared" si="6"/>
        <v>6.8546659714923743</v>
      </c>
      <c r="U12" s="114">
        <f t="shared" si="9"/>
        <v>4.2385026596321209</v>
      </c>
      <c r="V12" s="126">
        <v>17</v>
      </c>
      <c r="W12" s="120">
        <f t="shared" si="5"/>
        <v>21.428177581548614</v>
      </c>
      <c r="X12" s="147">
        <f t="shared" si="7"/>
        <v>1.5667807934839713</v>
      </c>
      <c r="Y12" s="147">
        <f t="shared" si="8"/>
        <v>6.3825137770316329E-2</v>
      </c>
    </row>
    <row r="13" spans="1:26" s="12" customFormat="1" ht="25" x14ac:dyDescent="0.3">
      <c r="B13" s="23"/>
      <c r="C13" s="36">
        <v>28456.166666666668</v>
      </c>
      <c r="D13" s="123">
        <v>0.09</v>
      </c>
      <c r="E13" s="126">
        <v>214.3</v>
      </c>
      <c r="F13" s="114">
        <v>10</v>
      </c>
      <c r="G13" s="18">
        <v>10.5</v>
      </c>
      <c r="H13" s="18">
        <v>-0.2</v>
      </c>
      <c r="I13" s="18">
        <f t="shared" si="0"/>
        <v>4.9079039371926534</v>
      </c>
      <c r="J13" s="120" t="s">
        <v>435</v>
      </c>
      <c r="K13" s="120"/>
      <c r="L13" s="120"/>
      <c r="M13" s="18">
        <v>13</v>
      </c>
      <c r="N13" s="140"/>
      <c r="O13" s="17">
        <v>1</v>
      </c>
      <c r="P13" s="17">
        <v>0</v>
      </c>
      <c r="Q13" s="14" t="s">
        <v>575</v>
      </c>
      <c r="R13" s="4">
        <v>40336</v>
      </c>
      <c r="S13" s="145">
        <v>0.6</v>
      </c>
      <c r="T13" s="145">
        <f t="shared" si="6"/>
        <v>4.3611871158746967</v>
      </c>
      <c r="U13" s="114">
        <f t="shared" si="9"/>
        <v>4.2385026596321209</v>
      </c>
      <c r="V13" s="126">
        <v>17</v>
      </c>
      <c r="W13" s="120">
        <f t="shared" si="5"/>
        <v>21.448453502429526</v>
      </c>
      <c r="X13" s="147">
        <f t="shared" si="7"/>
        <v>0.99684276934278782</v>
      </c>
      <c r="Y13" s="147">
        <f t="shared" si="8"/>
        <v>0.10031672303339209</v>
      </c>
    </row>
    <row r="14" spans="1:26" s="12" customFormat="1" ht="51" x14ac:dyDescent="0.3">
      <c r="B14" s="23"/>
      <c r="C14" s="36">
        <v>28483.121527777777</v>
      </c>
      <c r="D14" s="123">
        <v>0.04</v>
      </c>
      <c r="E14" s="126">
        <v>311.89999999999998</v>
      </c>
      <c r="F14" s="114">
        <v>23</v>
      </c>
      <c r="G14" s="18">
        <v>13</v>
      </c>
      <c r="H14" s="18">
        <v>-0.8</v>
      </c>
      <c r="I14" s="18">
        <f t="shared" si="0"/>
        <v>4.7718519967256228</v>
      </c>
      <c r="J14" s="120" t="s">
        <v>435</v>
      </c>
      <c r="K14" s="120"/>
      <c r="L14" s="120"/>
      <c r="M14" s="18">
        <v>20</v>
      </c>
      <c r="N14" s="140"/>
      <c r="O14" s="17">
        <v>1</v>
      </c>
      <c r="P14" s="17">
        <v>0</v>
      </c>
      <c r="Q14" s="14" t="s">
        <v>576</v>
      </c>
      <c r="R14" s="4">
        <v>40336</v>
      </c>
      <c r="S14" s="145">
        <v>0.6</v>
      </c>
      <c r="T14" s="145">
        <f t="shared" si="6"/>
        <v>2.9001430092029348</v>
      </c>
      <c r="U14" s="114">
        <f t="shared" si="9"/>
        <v>9.5729667018968723</v>
      </c>
      <c r="V14" s="114">
        <v>16.100000000000001</v>
      </c>
      <c r="W14" s="120">
        <f t="shared" si="5"/>
        <v>47.682115799128155</v>
      </c>
      <c r="X14" s="147">
        <f t="shared" si="7"/>
        <v>0.53541101708361871</v>
      </c>
      <c r="Y14" s="147">
        <f t="shared" si="8"/>
        <v>0.18677239879130531</v>
      </c>
    </row>
    <row r="15" spans="1:26" s="12" customFormat="1" ht="50" x14ac:dyDescent="0.3">
      <c r="B15" s="23"/>
      <c r="C15" s="36">
        <v>28491.079861111109</v>
      </c>
      <c r="D15" s="123">
        <v>0.02</v>
      </c>
      <c r="E15" s="126">
        <v>226</v>
      </c>
      <c r="F15" s="114">
        <v>27</v>
      </c>
      <c r="G15" s="18">
        <v>13.6</v>
      </c>
      <c r="H15" s="18">
        <v>-1</v>
      </c>
      <c r="I15" s="18">
        <f t="shared" si="0"/>
        <v>4.6698673383070339</v>
      </c>
      <c r="J15" s="120" t="s">
        <v>435</v>
      </c>
      <c r="K15" s="120"/>
      <c r="L15" s="120"/>
      <c r="M15" s="18">
        <v>17</v>
      </c>
      <c r="N15" s="140"/>
      <c r="O15" s="17">
        <v>1</v>
      </c>
      <c r="P15" s="17">
        <v>0</v>
      </c>
      <c r="Q15" s="14" t="s">
        <v>584</v>
      </c>
      <c r="R15" s="4">
        <v>40290</v>
      </c>
      <c r="S15" s="145">
        <v>0.6</v>
      </c>
      <c r="T15" s="145">
        <f t="shared" si="6"/>
        <v>3.381891101439078</v>
      </c>
      <c r="U15" s="114">
        <f t="shared" si="9"/>
        <v>11.141230069463392</v>
      </c>
      <c r="V15" s="114">
        <v>15.2</v>
      </c>
      <c r="W15" s="120">
        <f t="shared" si="5"/>
        <v>55.42751757473394</v>
      </c>
      <c r="X15" s="147">
        <f t="shared" si="7"/>
        <v>0.59680431201866091</v>
      </c>
      <c r="Y15" s="147">
        <f t="shared" si="8"/>
        <v>0.16755911106230947</v>
      </c>
    </row>
    <row r="16" spans="1:26" s="12" customFormat="1" ht="50" x14ac:dyDescent="0.3">
      <c r="B16" s="23"/>
      <c r="C16" s="36">
        <v>28491.102083333335</v>
      </c>
      <c r="D16" s="123">
        <v>0.02</v>
      </c>
      <c r="E16" s="126">
        <v>233.8</v>
      </c>
      <c r="F16" s="114">
        <v>27</v>
      </c>
      <c r="G16" s="18">
        <v>13.6</v>
      </c>
      <c r="H16" s="18">
        <v>-1</v>
      </c>
      <c r="I16" s="18">
        <f t="shared" si="0"/>
        <v>4.6698673383070339</v>
      </c>
      <c r="J16" s="120" t="s">
        <v>435</v>
      </c>
      <c r="K16" s="120"/>
      <c r="L16" s="120"/>
      <c r="M16" s="18">
        <v>23</v>
      </c>
      <c r="N16" s="140"/>
      <c r="O16" s="17">
        <v>1</v>
      </c>
      <c r="P16" s="17">
        <v>0</v>
      </c>
      <c r="Q16" s="14" t="s">
        <v>585</v>
      </c>
      <c r="R16" s="4">
        <v>40290</v>
      </c>
      <c r="S16" s="145">
        <v>0.6</v>
      </c>
      <c r="T16" s="145">
        <f t="shared" si="6"/>
        <v>2.5437905065446409</v>
      </c>
      <c r="U16" s="114">
        <f t="shared" si="9"/>
        <v>11.141230069463392</v>
      </c>
      <c r="V16" s="114">
        <v>15.2</v>
      </c>
      <c r="W16" s="120">
        <f t="shared" si="5"/>
        <v>55.449145223674286</v>
      </c>
      <c r="X16" s="147">
        <f t="shared" si="7"/>
        <v>0.44890420703728962</v>
      </c>
      <c r="Y16" s="147">
        <f t="shared" si="8"/>
        <v>0.22276467547494647</v>
      </c>
    </row>
    <row r="17" spans="2:27" s="12" customFormat="1" ht="50" x14ac:dyDescent="0.3">
      <c r="B17" s="23"/>
      <c r="C17" s="36">
        <v>28491.110416666666</v>
      </c>
      <c r="D17" s="123">
        <v>0.02</v>
      </c>
      <c r="E17" s="126">
        <v>236.7</v>
      </c>
      <c r="F17" s="114">
        <v>27</v>
      </c>
      <c r="G17" s="18">
        <v>13.6</v>
      </c>
      <c r="H17" s="18">
        <v>-1</v>
      </c>
      <c r="I17" s="18">
        <f t="shared" si="0"/>
        <v>4.6698673383070339</v>
      </c>
      <c r="J17" s="120" t="s">
        <v>435</v>
      </c>
      <c r="K17" s="120"/>
      <c r="L17" s="120"/>
      <c r="M17" s="18">
        <v>25</v>
      </c>
      <c r="N17" s="140"/>
      <c r="O17" s="17">
        <v>1</v>
      </c>
      <c r="P17" s="17">
        <v>0</v>
      </c>
      <c r="Q17" s="14" t="s">
        <v>586</v>
      </c>
      <c r="R17" s="4">
        <v>40290</v>
      </c>
      <c r="S17" s="145">
        <v>0.6</v>
      </c>
      <c r="T17" s="145">
        <f t="shared" si="6"/>
        <v>2.3541715985387959</v>
      </c>
      <c r="U17" s="114">
        <f t="shared" si="9"/>
        <v>11.141230069463392</v>
      </c>
      <c r="V17" s="114">
        <v>15.2</v>
      </c>
      <c r="W17" s="120">
        <f t="shared" si="5"/>
        <v>55.45725559202382</v>
      </c>
      <c r="X17" s="147">
        <f t="shared" si="7"/>
        <v>0.41544204680096403</v>
      </c>
      <c r="Y17" s="147">
        <f t="shared" si="8"/>
        <v>0.24070746033058482</v>
      </c>
    </row>
    <row r="18" spans="2:27" s="12" customFormat="1" ht="62.5" x14ac:dyDescent="0.3">
      <c r="B18" s="23"/>
      <c r="C18" s="36">
        <v>28491.113888888889</v>
      </c>
      <c r="D18" s="123">
        <v>0.02</v>
      </c>
      <c r="E18" s="126">
        <v>238</v>
      </c>
      <c r="F18" s="114">
        <v>27</v>
      </c>
      <c r="G18" s="18">
        <v>13.6</v>
      </c>
      <c r="H18" s="18">
        <v>-1</v>
      </c>
      <c r="I18" s="18">
        <f t="shared" si="0"/>
        <v>4.6698673383070339</v>
      </c>
      <c r="J18" s="120" t="s">
        <v>435</v>
      </c>
      <c r="K18" s="120"/>
      <c r="L18" s="120"/>
      <c r="M18" s="18">
        <v>26</v>
      </c>
      <c r="N18" s="140"/>
      <c r="O18" s="17">
        <v>1</v>
      </c>
      <c r="P18" s="17">
        <v>0</v>
      </c>
      <c r="Q18" s="14" t="s">
        <v>587</v>
      </c>
      <c r="R18" s="4">
        <v>40290</v>
      </c>
      <c r="S18" s="145">
        <v>0.6</v>
      </c>
      <c r="T18" s="145">
        <f t="shared" si="6"/>
        <v>2.2705060788377418</v>
      </c>
      <c r="U18" s="114">
        <f t="shared" si="9"/>
        <v>11.141230069463392</v>
      </c>
      <c r="V18" s="114">
        <v>15.2</v>
      </c>
      <c r="W18" s="120">
        <f t="shared" si="5"/>
        <v>55.460634912170633</v>
      </c>
      <c r="X18" s="147">
        <f t="shared" si="7"/>
        <v>0.40067754332430738</v>
      </c>
      <c r="Y18" s="147">
        <f t="shared" si="8"/>
        <v>0.24957725149837076</v>
      </c>
    </row>
    <row r="19" spans="2:27" s="12" customFormat="1" ht="37.5" x14ac:dyDescent="0.3">
      <c r="B19" s="23"/>
      <c r="C19" s="36">
        <v>28491.139583333334</v>
      </c>
      <c r="D19" s="123">
        <v>0.02</v>
      </c>
      <c r="E19" s="126">
        <v>247</v>
      </c>
      <c r="F19" s="114">
        <v>27</v>
      </c>
      <c r="G19" s="18">
        <v>13.6</v>
      </c>
      <c r="H19" s="18">
        <v>-1</v>
      </c>
      <c r="I19" s="18">
        <f t="shared" si="0"/>
        <v>4.6698673383070339</v>
      </c>
      <c r="J19" s="120" t="s">
        <v>435</v>
      </c>
      <c r="K19" s="120"/>
      <c r="L19" s="120"/>
      <c r="M19" s="18">
        <v>33</v>
      </c>
      <c r="N19" s="140"/>
      <c r="O19" s="17">
        <v>0</v>
      </c>
      <c r="P19" s="17">
        <v>4</v>
      </c>
      <c r="Q19" s="14" t="s">
        <v>497</v>
      </c>
      <c r="R19" s="4">
        <v>40290</v>
      </c>
      <c r="S19" s="145">
        <v>0.6</v>
      </c>
      <c r="T19" s="145">
        <f t="shared" si="6"/>
        <v>1.8310048580706904</v>
      </c>
      <c r="U19" s="114">
        <f t="shared" si="9"/>
        <v>11.141230069463392</v>
      </c>
      <c r="V19" s="114">
        <v>15.2</v>
      </c>
      <c r="W19" s="120">
        <f t="shared" si="5"/>
        <v>55.48564188125426</v>
      </c>
      <c r="X19" s="147">
        <f t="shared" si="7"/>
        <v>0.32311850436541595</v>
      </c>
      <c r="Y19" s="147">
        <f t="shared" si="8"/>
        <v>0.30948397770159775</v>
      </c>
    </row>
    <row r="20" spans="2:27" s="12" customFormat="1" ht="50" x14ac:dyDescent="0.3">
      <c r="B20" s="23"/>
      <c r="C20" s="36">
        <v>28491.159722222223</v>
      </c>
      <c r="D20" s="123">
        <v>0.02</v>
      </c>
      <c r="E20" s="126">
        <v>254</v>
      </c>
      <c r="F20" s="114">
        <v>27</v>
      </c>
      <c r="G20" s="18">
        <v>13.6</v>
      </c>
      <c r="H20" s="18">
        <v>-1</v>
      </c>
      <c r="I20" s="18">
        <f t="shared" si="0"/>
        <v>4.6698673383070339</v>
      </c>
      <c r="J20" s="120" t="s">
        <v>435</v>
      </c>
      <c r="K20" s="120"/>
      <c r="L20" s="120"/>
      <c r="M20" s="18">
        <v>38</v>
      </c>
      <c r="N20" s="140"/>
      <c r="O20" s="17">
        <v>0</v>
      </c>
      <c r="P20" s="17">
        <v>4</v>
      </c>
      <c r="Q20" s="14" t="s">
        <v>499</v>
      </c>
      <c r="R20" s="4">
        <v>40290</v>
      </c>
      <c r="S20" s="145">
        <v>0.6</v>
      </c>
      <c r="T20" s="145">
        <f t="shared" si="6"/>
        <v>1.6210400213471086</v>
      </c>
      <c r="U20" s="114">
        <f t="shared" si="9"/>
        <v>11.141230069463392</v>
      </c>
      <c r="V20" s="114">
        <v>15.2</v>
      </c>
      <c r="W20" s="120">
        <f t="shared" si="5"/>
        <v>55.505241938103687</v>
      </c>
      <c r="X20" s="147">
        <f t="shared" si="7"/>
        <v>0.28606588612007799</v>
      </c>
      <c r="Y20" s="147">
        <f t="shared" si="8"/>
        <v>0.34956981888439631</v>
      </c>
    </row>
    <row r="21" spans="2:27" s="12" customFormat="1" ht="50" x14ac:dyDescent="0.3">
      <c r="B21" s="23"/>
      <c r="C21" s="36">
        <v>28512.981944444444</v>
      </c>
      <c r="D21" s="123">
        <v>0</v>
      </c>
      <c r="E21" s="126">
        <v>358.7</v>
      </c>
      <c r="F21" s="114">
        <v>37</v>
      </c>
      <c r="G21" s="18">
        <v>14.3</v>
      </c>
      <c r="H21" s="18">
        <v>-1.3</v>
      </c>
      <c r="I21" s="18">
        <f t="shared" si="0"/>
        <v>4.4788947650774231</v>
      </c>
      <c r="J21" s="120" t="s">
        <v>435</v>
      </c>
      <c r="K21" s="120"/>
      <c r="L21" s="120"/>
      <c r="M21" s="18">
        <v>14</v>
      </c>
      <c r="N21" s="140"/>
      <c r="O21" s="17">
        <v>1</v>
      </c>
      <c r="P21" s="17">
        <v>0</v>
      </c>
      <c r="Q21" s="14" t="s">
        <v>577</v>
      </c>
      <c r="R21" s="4">
        <v>40339</v>
      </c>
      <c r="S21" s="145">
        <v>0.6</v>
      </c>
      <c r="T21" s="145">
        <f t="shared" si="6"/>
        <v>4.0656348389628336</v>
      </c>
      <c r="U21" s="114">
        <f t="shared" si="9"/>
        <v>14.841461952952889</v>
      </c>
      <c r="V21" s="114">
        <v>12.1</v>
      </c>
      <c r="W21" s="120">
        <f t="shared" si="5"/>
        <v>76.743593194356876</v>
      </c>
      <c r="X21" s="147">
        <f t="shared" si="7"/>
        <v>0.68234430863711881</v>
      </c>
      <c r="Y21" s="147">
        <f t="shared" si="8"/>
        <v>0.14655357820707132</v>
      </c>
    </row>
    <row r="22" spans="2:27" s="12" customFormat="1" ht="25" x14ac:dyDescent="0.3">
      <c r="B22" s="23"/>
      <c r="C22" s="36">
        <v>28513.017361111109</v>
      </c>
      <c r="D22" s="123">
        <v>0</v>
      </c>
      <c r="E22" s="126">
        <v>11.1</v>
      </c>
      <c r="F22" s="114">
        <v>37</v>
      </c>
      <c r="G22" s="18">
        <v>14.3</v>
      </c>
      <c r="H22" s="18">
        <v>-1.3</v>
      </c>
      <c r="I22" s="18">
        <f t="shared" si="0"/>
        <v>4.4788947650774231</v>
      </c>
      <c r="J22" s="120" t="s">
        <v>435</v>
      </c>
      <c r="K22" s="120"/>
      <c r="L22" s="120"/>
      <c r="M22" s="18">
        <v>24</v>
      </c>
      <c r="N22" s="140"/>
      <c r="O22" s="17">
        <v>1</v>
      </c>
      <c r="P22" s="17">
        <v>0</v>
      </c>
      <c r="Q22" s="14" t="s">
        <v>578</v>
      </c>
      <c r="R22" s="4">
        <v>40339</v>
      </c>
      <c r="S22" s="145">
        <v>0.6</v>
      </c>
      <c r="T22" s="145">
        <f t="shared" si="6"/>
        <v>2.4449646720977571</v>
      </c>
      <c r="U22" s="114">
        <f t="shared" si="9"/>
        <v>14.841461952952889</v>
      </c>
      <c r="V22" s="114">
        <v>12.1</v>
      </c>
      <c r="W22" s="120">
        <f t="shared" si="5"/>
        <v>76.778062259849463</v>
      </c>
      <c r="X22" s="147">
        <f t="shared" si="7"/>
        <v>0.41034372119123191</v>
      </c>
      <c r="Y22" s="147">
        <f t="shared" si="8"/>
        <v>0.24369813606431948</v>
      </c>
    </row>
    <row r="23" spans="2:27" s="12" customFormat="1" ht="50" x14ac:dyDescent="0.3">
      <c r="B23" s="23"/>
      <c r="C23" s="36">
        <v>28513.03125</v>
      </c>
      <c r="D23" s="123">
        <v>0</v>
      </c>
      <c r="E23" s="126">
        <v>16</v>
      </c>
      <c r="F23" s="114">
        <v>37</v>
      </c>
      <c r="G23" s="18">
        <v>14.3</v>
      </c>
      <c r="H23" s="18">
        <v>-1.3</v>
      </c>
      <c r="I23" s="18">
        <f t="shared" si="0"/>
        <v>4.4788947650774231</v>
      </c>
      <c r="J23" s="120" t="s">
        <v>435</v>
      </c>
      <c r="K23" s="120"/>
      <c r="L23" s="120"/>
      <c r="M23" s="18">
        <v>27</v>
      </c>
      <c r="N23" s="140"/>
      <c r="O23" s="17">
        <v>0</v>
      </c>
      <c r="P23" s="17">
        <v>6</v>
      </c>
      <c r="Q23" s="14" t="s">
        <v>500</v>
      </c>
      <c r="R23" s="4">
        <v>40290</v>
      </c>
      <c r="S23" s="145">
        <v>0.6</v>
      </c>
      <c r="T23" s="145">
        <f t="shared" si="6"/>
        <v>2.1931939234339084</v>
      </c>
      <c r="U23" s="114">
        <f t="shared" si="9"/>
        <v>14.841461952952889</v>
      </c>
      <c r="V23" s="114">
        <v>12.1</v>
      </c>
      <c r="W23" s="120">
        <f t="shared" si="5"/>
        <v>76.791579540436743</v>
      </c>
      <c r="X23" s="147">
        <f t="shared" si="7"/>
        <v>0.36808849064625032</v>
      </c>
      <c r="Y23" s="147">
        <f t="shared" si="8"/>
        <v>0.27167380274354874</v>
      </c>
    </row>
    <row r="24" spans="2:27" s="12" customFormat="1" ht="50" x14ac:dyDescent="0.3">
      <c r="B24" s="23"/>
      <c r="C24" s="36">
        <v>28513.043750000001</v>
      </c>
      <c r="D24" s="123">
        <v>0</v>
      </c>
      <c r="E24" s="126">
        <v>20.399999999999999</v>
      </c>
      <c r="F24" s="114">
        <v>37</v>
      </c>
      <c r="G24" s="18">
        <v>14.3</v>
      </c>
      <c r="H24" s="18">
        <v>-1.3</v>
      </c>
      <c r="I24" s="18">
        <f t="shared" si="0"/>
        <v>4.4788947650774231</v>
      </c>
      <c r="J24" s="120" t="s">
        <v>435</v>
      </c>
      <c r="K24" s="120"/>
      <c r="L24" s="120"/>
      <c r="M24" s="18">
        <v>31</v>
      </c>
      <c r="N24" s="140"/>
      <c r="O24" s="17">
        <v>0</v>
      </c>
      <c r="P24" s="17">
        <v>4</v>
      </c>
      <c r="Q24" s="14" t="s">
        <v>501</v>
      </c>
      <c r="R24" s="4">
        <v>40290</v>
      </c>
      <c r="S24" s="145">
        <v>0.6</v>
      </c>
      <c r="T24" s="145">
        <f t="shared" si="6"/>
        <v>1.9354257648171831</v>
      </c>
      <c r="U24" s="114">
        <f t="shared" si="9"/>
        <v>14.841461952952889</v>
      </c>
      <c r="V24" s="114">
        <v>12.1</v>
      </c>
      <c r="W24" s="120">
        <f t="shared" si="5"/>
        <v>76.803745092964576</v>
      </c>
      <c r="X24" s="147">
        <f t="shared" si="7"/>
        <v>0.32482670178749923</v>
      </c>
      <c r="Y24" s="147">
        <f t="shared" si="8"/>
        <v>0.30785646453849641</v>
      </c>
    </row>
    <row r="25" spans="2:27" s="12" customFormat="1" ht="25" x14ac:dyDescent="0.3">
      <c r="B25" s="23"/>
      <c r="C25" s="36">
        <v>28513.057638888888</v>
      </c>
      <c r="D25" s="123">
        <v>0</v>
      </c>
      <c r="E25" s="126">
        <v>25.3</v>
      </c>
      <c r="F25" s="114">
        <v>37</v>
      </c>
      <c r="G25" s="18">
        <v>14.3</v>
      </c>
      <c r="H25" s="18">
        <v>-1.3</v>
      </c>
      <c r="I25" s="18">
        <f t="shared" si="0"/>
        <v>4.4788947650774231</v>
      </c>
      <c r="J25" s="120" t="s">
        <v>435</v>
      </c>
      <c r="K25" s="120"/>
      <c r="L25" s="120"/>
      <c r="M25" s="18">
        <v>34</v>
      </c>
      <c r="N25" s="140"/>
      <c r="O25" s="17">
        <v>1</v>
      </c>
      <c r="P25" s="17">
        <v>0</v>
      </c>
      <c r="Q25" s="14" t="s">
        <v>578</v>
      </c>
      <c r="R25" s="4">
        <v>40339</v>
      </c>
      <c r="S25" s="145">
        <v>0.6</v>
      </c>
      <c r="T25" s="145">
        <f t="shared" si="6"/>
        <v>1.7836764629110244</v>
      </c>
      <c r="U25" s="114">
        <f t="shared" si="9"/>
        <v>14.841461952952889</v>
      </c>
      <c r="V25" s="114">
        <v>12.1</v>
      </c>
      <c r="W25" s="120">
        <f t="shared" si="5"/>
        <v>76.817262373548317</v>
      </c>
      <c r="X25" s="147">
        <f t="shared" si="7"/>
        <v>0.29935828748157051</v>
      </c>
      <c r="Y25" s="147">
        <f t="shared" si="8"/>
        <v>0.33404787567859245</v>
      </c>
    </row>
    <row r="26" spans="2:27" s="12" customFormat="1" ht="87.5" x14ac:dyDescent="0.3">
      <c r="B26" s="23"/>
      <c r="C26" s="36">
        <v>28578.00277777778</v>
      </c>
      <c r="D26" s="123">
        <v>0.09</v>
      </c>
      <c r="E26" s="126">
        <v>138.6</v>
      </c>
      <c r="F26" s="114">
        <v>68</v>
      </c>
      <c r="G26" s="18">
        <v>8.9</v>
      </c>
      <c r="H26" s="18">
        <v>0.3</v>
      </c>
      <c r="I26" s="18">
        <f t="shared" si="0"/>
        <v>5.0487698483420838</v>
      </c>
      <c r="J26" s="120" t="s">
        <v>435</v>
      </c>
      <c r="K26" s="120"/>
      <c r="L26" s="120"/>
      <c r="M26" s="18">
        <v>68</v>
      </c>
      <c r="N26" s="140"/>
      <c r="O26" s="17">
        <v>1</v>
      </c>
      <c r="P26" s="17">
        <v>0</v>
      </c>
      <c r="Q26" s="14" t="s">
        <v>583</v>
      </c>
      <c r="R26" s="4">
        <v>40339</v>
      </c>
      <c r="S26" s="145">
        <v>0.6</v>
      </c>
      <c r="T26" s="145">
        <f t="shared" si="6"/>
        <v>1.0781669603789994</v>
      </c>
      <c r="U26" s="114">
        <f t="shared" si="9"/>
        <v>23.242853710488841</v>
      </c>
      <c r="V26" s="114">
        <v>11.6</v>
      </c>
      <c r="W26" s="120">
        <f t="shared" si="5"/>
        <v>140.02474225632085</v>
      </c>
      <c r="X26" s="147">
        <f t="shared" si="7"/>
        <v>0.29074165223703352</v>
      </c>
      <c r="Y26" s="147">
        <f t="shared" si="8"/>
        <v>0.3439479662806374</v>
      </c>
    </row>
    <row r="27" spans="2:27" s="12" customFormat="1" ht="62.5" x14ac:dyDescent="0.3">
      <c r="B27" s="23"/>
      <c r="C27" s="36">
        <v>28579.02986111111</v>
      </c>
      <c r="D27" s="123">
        <v>0.09</v>
      </c>
      <c r="E27" s="126">
        <v>138.6</v>
      </c>
      <c r="F27" s="114">
        <v>68</v>
      </c>
      <c r="G27" s="18">
        <v>8.9</v>
      </c>
      <c r="H27" s="18">
        <v>0.3</v>
      </c>
      <c r="I27" s="18">
        <f t="shared" si="0"/>
        <v>5.0487698483420838</v>
      </c>
      <c r="J27" s="120" t="s">
        <v>435</v>
      </c>
      <c r="K27" s="120"/>
      <c r="L27" s="120"/>
      <c r="M27" s="18">
        <v>71</v>
      </c>
      <c r="N27" s="140"/>
      <c r="O27" s="17">
        <v>1</v>
      </c>
      <c r="P27" s="17">
        <v>0</v>
      </c>
      <c r="Q27" s="14" t="s">
        <v>582</v>
      </c>
      <c r="R27" s="4">
        <v>40339</v>
      </c>
      <c r="S27" s="145">
        <v>0.6</v>
      </c>
      <c r="T27" s="145">
        <f t="shared" si="6"/>
        <v>1.0573271479172213</v>
      </c>
      <c r="U27" s="114">
        <f t="shared" si="9"/>
        <v>23.242853710488841</v>
      </c>
      <c r="V27" s="114">
        <v>11.7</v>
      </c>
      <c r="W27" s="120">
        <f t="shared" si="5"/>
        <v>141.02434515563087</v>
      </c>
      <c r="X27" s="147">
        <f t="shared" si="7"/>
        <v>0.28512192752823945</v>
      </c>
      <c r="Y27" s="147">
        <f t="shared" si="8"/>
        <v>0.35072714633670421</v>
      </c>
    </row>
    <row r="28" spans="2:27" s="12" customFormat="1" ht="76" x14ac:dyDescent="0.3">
      <c r="B28" s="23"/>
      <c r="C28" s="36">
        <v>28602.052083333332</v>
      </c>
      <c r="D28" s="123">
        <v>0.1</v>
      </c>
      <c r="E28" s="126">
        <v>289.3</v>
      </c>
      <c r="F28" s="114">
        <v>76</v>
      </c>
      <c r="G28" s="18">
        <v>7.3</v>
      </c>
      <c r="H28" s="18">
        <v>0.7</v>
      </c>
      <c r="I28" s="18">
        <f t="shared" si="0"/>
        <v>5.0182691400056347</v>
      </c>
      <c r="J28" s="120" t="s">
        <v>435</v>
      </c>
      <c r="K28" s="120"/>
      <c r="L28" s="120"/>
      <c r="M28" s="18">
        <v>64</v>
      </c>
      <c r="N28" s="140"/>
      <c r="O28" s="17">
        <v>1</v>
      </c>
      <c r="P28" s="17">
        <v>0</v>
      </c>
      <c r="Q28" s="14" t="s">
        <v>579</v>
      </c>
      <c r="R28" s="4">
        <v>40339</v>
      </c>
      <c r="S28" s="145">
        <v>0.6</v>
      </c>
      <c r="T28" s="145">
        <f t="shared" si="6"/>
        <v>1.1121134441818672</v>
      </c>
      <c r="U28" s="114">
        <f t="shared" si="9"/>
        <v>24.392082987923679</v>
      </c>
      <c r="V28" s="114">
        <v>15.2</v>
      </c>
      <c r="W28" s="120">
        <f t="shared" si="5"/>
        <v>163.43058945448936</v>
      </c>
      <c r="X28" s="147">
        <f t="shared" si="7"/>
        <v>0.36562633781321657</v>
      </c>
      <c r="Y28" s="147">
        <f t="shared" si="8"/>
        <v>0.27350327276227537</v>
      </c>
    </row>
    <row r="29" spans="2:27" s="12" customFormat="1" ht="50" x14ac:dyDescent="0.3">
      <c r="B29" s="23"/>
      <c r="C29" s="36">
        <v>28608.034722222223</v>
      </c>
      <c r="D29" s="123">
        <v>0.1</v>
      </c>
      <c r="E29" s="126">
        <v>226.1</v>
      </c>
      <c r="F29" s="114">
        <v>79</v>
      </c>
      <c r="G29" s="18">
        <v>7</v>
      </c>
      <c r="H29" s="18">
        <v>0.8</v>
      </c>
      <c r="I29" s="18">
        <f>-LOG((1/(G29^2))*(2.511^(-H29)))/LOG(2.511)</f>
        <v>5.0271101056719765</v>
      </c>
      <c r="J29" s="120" t="s">
        <v>435</v>
      </c>
      <c r="K29" s="120"/>
      <c r="L29" s="120"/>
      <c r="M29" s="18">
        <v>65</v>
      </c>
      <c r="N29" s="140"/>
      <c r="O29" s="17">
        <v>1</v>
      </c>
      <c r="P29" s="17">
        <v>0</v>
      </c>
      <c r="Q29" s="14" t="s">
        <v>580</v>
      </c>
      <c r="R29" s="4">
        <v>40339</v>
      </c>
      <c r="S29" s="145">
        <v>0.6</v>
      </c>
      <c r="T29" s="145">
        <f t="shared" si="6"/>
        <v>1.1029223164254509</v>
      </c>
      <c r="U29" s="114">
        <f>DEGREES(ASIN(SIN(RADIANS(F29))*SIN(RADIANS(25.19))))</f>
        <v>24.695864589518376</v>
      </c>
      <c r="V29" s="114">
        <v>15.2</v>
      </c>
      <c r="W29" s="120">
        <f>668.5921*MOD((C29-Z$1),686.9726)/686.9726</f>
        <v>169.25315806678188</v>
      </c>
      <c r="X29" s="147">
        <f t="shared" si="7"/>
        <v>0.37814479420301172</v>
      </c>
      <c r="Y29" s="147">
        <f t="shared" si="8"/>
        <v>0.26444896646207366</v>
      </c>
    </row>
    <row r="30" spans="2:27" s="12" customFormat="1" ht="75" x14ac:dyDescent="0.3">
      <c r="B30" s="23"/>
      <c r="C30" s="36">
        <v>28644.079861111109</v>
      </c>
      <c r="D30" s="123">
        <v>0.09</v>
      </c>
      <c r="E30" s="126">
        <v>256</v>
      </c>
      <c r="F30" s="114">
        <v>95</v>
      </c>
      <c r="G30" s="18">
        <v>5.7</v>
      </c>
      <c r="H30" s="18">
        <v>1.2</v>
      </c>
      <c r="I30" s="18">
        <f>-LOG((1/(G30^2))*(2.511^(-H30)))/LOG(2.511)</f>
        <v>4.98082315867474</v>
      </c>
      <c r="J30" s="120" t="s">
        <v>435</v>
      </c>
      <c r="K30" s="120"/>
      <c r="L30" s="120"/>
      <c r="M30" s="18">
        <v>39</v>
      </c>
      <c r="N30" s="140"/>
      <c r="O30" s="17">
        <v>1</v>
      </c>
      <c r="P30" s="17">
        <v>0</v>
      </c>
      <c r="Q30" s="14" t="s">
        <v>581</v>
      </c>
      <c r="R30" s="4">
        <v>40339</v>
      </c>
      <c r="S30" s="145">
        <v>0.6</v>
      </c>
      <c r="T30" s="145">
        <f t="shared" si="6"/>
        <v>1.5860482424309197</v>
      </c>
      <c r="U30" s="114">
        <f>DEGREES(ASIN(SIN(RADIANS(F30))*SIN(RADIANS(25.19))))</f>
        <v>25.087493483583451</v>
      </c>
      <c r="V30" s="114">
        <v>21.8</v>
      </c>
      <c r="W30" s="120">
        <f>668.5921*MOD((C30-Z$1),686.9726)/686.9726</f>
        <v>204.33388050682177</v>
      </c>
      <c r="X30" s="147">
        <f t="shared" si="7"/>
        <v>0.66780978628670296</v>
      </c>
      <c r="Y30" s="147">
        <f t="shared" si="8"/>
        <v>0.14974323834941253</v>
      </c>
      <c r="AA30" s="135">
        <v>28643</v>
      </c>
    </row>
    <row r="31" spans="2:27" s="12" customFormat="1" ht="75" x14ac:dyDescent="0.3">
      <c r="B31" s="23"/>
      <c r="C31" s="36">
        <v>28645.09375</v>
      </c>
      <c r="D31" s="123">
        <v>0.09</v>
      </c>
      <c r="E31" s="126">
        <v>251.2</v>
      </c>
      <c r="F31" s="114">
        <v>95</v>
      </c>
      <c r="G31" s="18">
        <v>5.6</v>
      </c>
      <c r="H31" s="18">
        <v>1.2</v>
      </c>
      <c r="I31" s="18">
        <f>-LOG((1/(G31^2))*(2.511^(-H31)))/LOG(2.511)</f>
        <v>4.9423742810329223</v>
      </c>
      <c r="J31" s="120" t="s">
        <v>435</v>
      </c>
      <c r="K31" s="120"/>
      <c r="L31" s="120"/>
      <c r="M31" s="18">
        <v>35</v>
      </c>
      <c r="N31" s="140"/>
      <c r="O31" s="17">
        <v>1</v>
      </c>
      <c r="P31" s="17">
        <v>0</v>
      </c>
      <c r="Q31" s="136" t="s">
        <v>581</v>
      </c>
      <c r="R31" s="4">
        <v>40339</v>
      </c>
      <c r="S31" s="145">
        <v>0.6</v>
      </c>
      <c r="T31" s="145">
        <f t="shared" si="6"/>
        <v>1.7392388870659281</v>
      </c>
      <c r="U31" s="114">
        <f>DEGREES(ASIN(SIN(RADIANS(F31))*SIN(RADIANS(25.19))))</f>
        <v>25.087493483583451</v>
      </c>
      <c r="V31" s="114">
        <v>22</v>
      </c>
      <c r="W31" s="120">
        <f>668.5921*MOD((C31-Z$1),686.9726)/686.9726</f>
        <v>205.32064198957951</v>
      </c>
      <c r="X31" s="147">
        <f t="shared" si="7"/>
        <v>0.74538809445682641</v>
      </c>
      <c r="Y31" s="147">
        <f t="shared" si="8"/>
        <v>0.13415830054660485</v>
      </c>
      <c r="AA31" s="135">
        <v>28643</v>
      </c>
    </row>
    <row r="32" spans="2:27" s="12" customFormat="1" ht="50" x14ac:dyDescent="0.3">
      <c r="B32" s="23"/>
      <c r="C32" s="36">
        <v>30138.138888888891</v>
      </c>
      <c r="D32" s="123">
        <v>0.13</v>
      </c>
      <c r="E32" s="126">
        <v>294.39999999999998</v>
      </c>
      <c r="F32" s="114">
        <v>152</v>
      </c>
      <c r="G32" s="18">
        <v>8.4</v>
      </c>
      <c r="H32" s="18">
        <v>0.3</v>
      </c>
      <c r="I32" s="18">
        <f t="shared" si="0"/>
        <v>4.9231681125536007</v>
      </c>
      <c r="J32" s="120" t="s">
        <v>435</v>
      </c>
      <c r="K32" s="120"/>
      <c r="L32" s="120"/>
      <c r="M32" s="18">
        <v>19</v>
      </c>
      <c r="N32" s="140"/>
      <c r="O32" s="17">
        <v>1</v>
      </c>
      <c r="P32" s="17">
        <v>0</v>
      </c>
      <c r="Q32" s="14" t="s">
        <v>518</v>
      </c>
      <c r="R32" s="4">
        <v>40308</v>
      </c>
      <c r="S32" s="145">
        <v>0.6</v>
      </c>
      <c r="T32" s="145">
        <f t="shared" si="6"/>
        <v>3.043962501764153</v>
      </c>
      <c r="U32" s="114">
        <f t="shared" si="9"/>
        <v>11.526265291020636</v>
      </c>
      <c r="V32" s="114">
        <v>24.9</v>
      </c>
      <c r="W32" s="120">
        <f t="shared" si="5"/>
        <v>321.23396699205398</v>
      </c>
      <c r="X32" s="147">
        <f t="shared" si="7"/>
        <v>0.86970357193261505</v>
      </c>
      <c r="Y32" s="147">
        <f t="shared" si="8"/>
        <v>0.11498170552270429</v>
      </c>
    </row>
    <row r="33" spans="2:25" s="12" customFormat="1" ht="25" x14ac:dyDescent="0.3">
      <c r="B33" s="23"/>
      <c r="C33" s="129" t="s">
        <v>520</v>
      </c>
      <c r="D33" s="123"/>
      <c r="E33" s="126"/>
      <c r="F33" s="114"/>
      <c r="G33" s="18"/>
      <c r="H33" s="18"/>
      <c r="I33" s="18"/>
      <c r="J33" s="120"/>
      <c r="K33" s="120"/>
      <c r="L33" s="120"/>
      <c r="M33" s="18"/>
      <c r="N33" s="140"/>
      <c r="O33" s="17">
        <v>1</v>
      </c>
      <c r="P33" s="17">
        <v>0</v>
      </c>
      <c r="Q33" s="128" t="s">
        <v>519</v>
      </c>
      <c r="R33" s="4">
        <v>40308</v>
      </c>
      <c r="S33" s="145">
        <v>0.6</v>
      </c>
      <c r="T33" s="145">
        <f t="shared" si="6"/>
        <v>38.749398755780355</v>
      </c>
      <c r="U33" s="114">
        <f t="shared" si="9"/>
        <v>0</v>
      </c>
      <c r="V33" s="114"/>
      <c r="W33" s="120">
        <f t="shared" si="5"/>
        <v>334.60411468203694</v>
      </c>
      <c r="X33" s="147" t="e">
        <f t="shared" si="7"/>
        <v>#DIV/0!</v>
      </c>
      <c r="Y33" s="147" t="e">
        <f t="shared" si="8"/>
        <v>#DIV/0!</v>
      </c>
    </row>
    <row r="34" spans="2:25" s="12" customFormat="1" ht="25" x14ac:dyDescent="0.3">
      <c r="B34" s="23"/>
      <c r="C34" s="129" t="s">
        <v>521</v>
      </c>
      <c r="D34" s="123"/>
      <c r="E34" s="126"/>
      <c r="F34" s="114"/>
      <c r="G34" s="18"/>
      <c r="H34" s="18"/>
      <c r="I34" s="18"/>
      <c r="J34" s="120"/>
      <c r="K34" s="120"/>
      <c r="L34" s="120"/>
      <c r="M34" s="18"/>
      <c r="N34" s="140"/>
      <c r="O34" s="17">
        <v>1</v>
      </c>
      <c r="P34" s="17">
        <v>0</v>
      </c>
      <c r="Q34" s="128" t="s">
        <v>522</v>
      </c>
      <c r="R34" s="4">
        <v>40308</v>
      </c>
      <c r="S34" s="145">
        <v>0.6</v>
      </c>
      <c r="T34" s="145">
        <f t="shared" si="6"/>
        <v>38.749398755780355</v>
      </c>
      <c r="U34" s="114">
        <f t="shared" si="9"/>
        <v>0</v>
      </c>
      <c r="V34" s="114"/>
      <c r="W34" s="120">
        <f t="shared" si="5"/>
        <v>338.49709149071901</v>
      </c>
      <c r="X34" s="147" t="e">
        <f t="shared" si="7"/>
        <v>#DIV/0!</v>
      </c>
      <c r="Y34" s="147" t="e">
        <f t="shared" si="8"/>
        <v>#DIV/0!</v>
      </c>
    </row>
    <row r="35" spans="2:25" s="12" customFormat="1" ht="87.5" x14ac:dyDescent="0.3">
      <c r="B35" s="23"/>
      <c r="C35" s="129">
        <v>34022.048611111109</v>
      </c>
      <c r="D35" s="123">
        <v>0.06</v>
      </c>
      <c r="E35" s="126">
        <v>266.7</v>
      </c>
      <c r="F35" s="114">
        <v>43</v>
      </c>
      <c r="G35" s="18">
        <v>10.9</v>
      </c>
      <c r="H35" s="18">
        <v>-0.3</v>
      </c>
      <c r="I35" s="18">
        <f t="shared" ref="I35:I50" si="10">-LOG((1/(G35^2))*(2.511^(-H35)))/LOG(2.511)</f>
        <v>4.8891210554253766</v>
      </c>
      <c r="J35" s="120" t="s">
        <v>435</v>
      </c>
      <c r="K35" s="120"/>
      <c r="L35" s="120"/>
      <c r="M35" s="18">
        <v>67</v>
      </c>
      <c r="N35" s="140"/>
      <c r="O35" s="17">
        <v>0</v>
      </c>
      <c r="P35" s="17">
        <v>1</v>
      </c>
      <c r="Q35" s="14" t="s">
        <v>523</v>
      </c>
      <c r="R35" s="4">
        <v>40308</v>
      </c>
      <c r="S35" s="145">
        <v>0.6</v>
      </c>
      <c r="T35" s="145">
        <f t="shared" si="6"/>
        <v>1.0859649908020543</v>
      </c>
      <c r="U35" s="114">
        <f t="shared" si="9"/>
        <v>16.874305122260985</v>
      </c>
      <c r="V35" s="126">
        <v>4</v>
      </c>
      <c r="W35" s="120">
        <f t="shared" si="5"/>
        <v>89.67398589849924</v>
      </c>
      <c r="X35" s="147">
        <f t="shared" si="7"/>
        <v>0.23911155760779176</v>
      </c>
      <c r="Y35" s="147">
        <f t="shared" si="8"/>
        <v>0.41821483244246732</v>
      </c>
    </row>
    <row r="36" spans="2:25" s="12" customFormat="1" ht="50" x14ac:dyDescent="0.3">
      <c r="B36" s="23"/>
      <c r="C36" s="129">
        <v>34664.434027777781</v>
      </c>
      <c r="D36" s="123">
        <v>0.1</v>
      </c>
      <c r="E36" s="126">
        <v>267.89999999999998</v>
      </c>
      <c r="F36" s="114">
        <v>23</v>
      </c>
      <c r="G36" s="18">
        <v>8.3000000000000007</v>
      </c>
      <c r="H36" s="18">
        <v>0.4</v>
      </c>
      <c r="I36" s="18">
        <f t="shared" si="10"/>
        <v>4.9971521743430891</v>
      </c>
      <c r="J36" s="120" t="s">
        <v>435</v>
      </c>
      <c r="K36" s="120"/>
      <c r="L36" s="120"/>
      <c r="M36" s="18">
        <v>65</v>
      </c>
      <c r="N36" s="140"/>
      <c r="O36" s="17">
        <v>3</v>
      </c>
      <c r="P36" s="17">
        <v>0</v>
      </c>
      <c r="Q36" s="14" t="s">
        <v>526</v>
      </c>
      <c r="R36" s="4">
        <v>40308</v>
      </c>
      <c r="S36" s="145">
        <v>0.6</v>
      </c>
      <c r="T36" s="145">
        <f t="shared" si="6"/>
        <v>1.1029223164254509</v>
      </c>
      <c r="U36" s="114">
        <f t="shared" si="9"/>
        <v>9.5729667018968723</v>
      </c>
      <c r="V36" s="114">
        <v>21.3</v>
      </c>
      <c r="W36" s="120">
        <f t="shared" si="5"/>
        <v>46.279768228223716</v>
      </c>
      <c r="X36" s="147">
        <f t="shared" si="7"/>
        <v>0.31891729631579302</v>
      </c>
      <c r="Y36" s="147">
        <f t="shared" si="8"/>
        <v>0.3135609173764588</v>
      </c>
    </row>
    <row r="37" spans="2:25" s="12" customFormat="1" ht="112.5" x14ac:dyDescent="0.3">
      <c r="B37" s="23"/>
      <c r="C37" s="129">
        <v>34664.449305555558</v>
      </c>
      <c r="D37" s="123">
        <v>0.1</v>
      </c>
      <c r="E37" s="126">
        <v>275.2</v>
      </c>
      <c r="F37" s="114">
        <v>23</v>
      </c>
      <c r="G37" s="18">
        <v>8.3000000000000007</v>
      </c>
      <c r="H37" s="18">
        <v>0.4</v>
      </c>
      <c r="I37" s="18">
        <f>-LOG((1/(G37^2))*(2.511^(-H37)))/LOG(2.511)</f>
        <v>4.9971521743430891</v>
      </c>
      <c r="J37" s="120" t="s">
        <v>435</v>
      </c>
      <c r="K37" s="120"/>
      <c r="L37" s="120"/>
      <c r="M37" s="18">
        <v>69</v>
      </c>
      <c r="N37" s="140"/>
      <c r="O37" s="17">
        <v>0</v>
      </c>
      <c r="P37" s="17">
        <v>4</v>
      </c>
      <c r="Q37" s="14" t="s">
        <v>537</v>
      </c>
      <c r="R37" s="4">
        <v>40308</v>
      </c>
      <c r="S37" s="145">
        <v>0.6</v>
      </c>
      <c r="T37" s="145">
        <f t="shared" si="6"/>
        <v>1.0708033146314064</v>
      </c>
      <c r="U37" s="114">
        <f t="shared" si="9"/>
        <v>9.5729667018968723</v>
      </c>
      <c r="V37" s="114">
        <v>21.3</v>
      </c>
      <c r="W37" s="120">
        <f t="shared" si="5"/>
        <v>46.294637236866883</v>
      </c>
      <c r="X37" s="147">
        <f t="shared" si="7"/>
        <v>0.3096298741102862</v>
      </c>
      <c r="Y37" s="147">
        <f t="shared" si="8"/>
        <v>0.32296625216590463</v>
      </c>
    </row>
    <row r="38" spans="2:25" s="12" customFormat="1" ht="75" x14ac:dyDescent="0.3">
      <c r="B38" s="23"/>
      <c r="C38" s="129">
        <v>34687.248611111114</v>
      </c>
      <c r="D38" s="123">
        <v>0.08</v>
      </c>
      <c r="E38" s="126">
        <v>349</v>
      </c>
      <c r="F38" s="114">
        <v>33</v>
      </c>
      <c r="G38" s="18">
        <v>9.9</v>
      </c>
      <c r="H38" s="18">
        <v>-0.1</v>
      </c>
      <c r="I38" s="18">
        <f t="shared" si="10"/>
        <v>4.8800844320677719</v>
      </c>
      <c r="J38" s="120" t="s">
        <v>435</v>
      </c>
      <c r="K38" s="120"/>
      <c r="L38" s="120"/>
      <c r="M38" s="18">
        <v>22</v>
      </c>
      <c r="N38" s="140"/>
      <c r="O38" s="17">
        <v>4</v>
      </c>
      <c r="P38" s="17">
        <v>0</v>
      </c>
      <c r="Q38" s="14" t="s">
        <v>527</v>
      </c>
      <c r="R38" s="4">
        <v>40308</v>
      </c>
      <c r="S38" s="145">
        <v>0.6</v>
      </c>
      <c r="T38" s="145">
        <f t="shared" si="6"/>
        <v>2.6517140620100372</v>
      </c>
      <c r="U38" s="114">
        <f t="shared" si="9"/>
        <v>13.403657961356767</v>
      </c>
      <c r="V38" s="114">
        <v>21.8</v>
      </c>
      <c r="W38" s="120">
        <f t="shared" si="5"/>
        <v>68.483929182325824</v>
      </c>
      <c r="X38" s="147">
        <f t="shared" si="7"/>
        <v>0.64283977260849379</v>
      </c>
      <c r="Y38" s="147">
        <f t="shared" si="8"/>
        <v>0.15555975884040799</v>
      </c>
    </row>
    <row r="39" spans="2:25" s="12" customFormat="1" ht="62.5" x14ac:dyDescent="0.3">
      <c r="B39" s="23"/>
      <c r="C39" s="36">
        <v>34687.263194444444</v>
      </c>
      <c r="D39" s="123">
        <v>0.08</v>
      </c>
      <c r="E39" s="126">
        <v>354.2</v>
      </c>
      <c r="F39" s="114">
        <v>33</v>
      </c>
      <c r="G39" s="18">
        <v>9.9</v>
      </c>
      <c r="H39" s="18">
        <v>-0.1</v>
      </c>
      <c r="I39" s="18">
        <f>-LOG((1/(G39^2))*(2.511^(-H39)))/LOG(2.511)</f>
        <v>4.8800844320677719</v>
      </c>
      <c r="J39" s="120" t="s">
        <v>435</v>
      </c>
      <c r="K39" s="120"/>
      <c r="L39" s="120"/>
      <c r="M39" s="18">
        <v>26</v>
      </c>
      <c r="N39" s="140"/>
      <c r="O39" s="17">
        <v>0</v>
      </c>
      <c r="P39" s="17">
        <v>3</v>
      </c>
      <c r="Q39" s="14" t="s">
        <v>538</v>
      </c>
      <c r="R39" s="4">
        <v>40309</v>
      </c>
      <c r="S39" s="145">
        <v>0.6</v>
      </c>
      <c r="T39" s="145">
        <f t="shared" si="6"/>
        <v>2.2705060788377418</v>
      </c>
      <c r="U39" s="114">
        <f t="shared" si="9"/>
        <v>13.403657961356767</v>
      </c>
      <c r="V39" s="114">
        <v>21.8</v>
      </c>
      <c r="W39" s="120">
        <f t="shared" si="5"/>
        <v>68.498122326937505</v>
      </c>
      <c r="X39" s="147">
        <f t="shared" si="7"/>
        <v>0.55042571608187674</v>
      </c>
      <c r="Y39" s="147">
        <f t="shared" si="8"/>
        <v>0.1816775580760199</v>
      </c>
    </row>
    <row r="40" spans="2:25" s="12" customFormat="1" ht="87.5" x14ac:dyDescent="0.3">
      <c r="B40" s="23"/>
      <c r="C40" s="36">
        <v>34701.224999999999</v>
      </c>
      <c r="D40" s="123">
        <v>0.06</v>
      </c>
      <c r="E40" s="126">
        <v>212</v>
      </c>
      <c r="F40" s="114">
        <v>40</v>
      </c>
      <c r="G40" s="18">
        <v>11.2</v>
      </c>
      <c r="H40" s="18">
        <v>-0.4</v>
      </c>
      <c r="I40" s="18">
        <f>-LOG((1/(G40^2))*(2.511^(-H40)))/LOG(2.511)</f>
        <v>4.8481012813702318</v>
      </c>
      <c r="J40" s="120" t="s">
        <v>435</v>
      </c>
      <c r="K40" s="120"/>
      <c r="L40" s="120"/>
      <c r="M40" s="18">
        <v>25</v>
      </c>
      <c r="N40" s="140"/>
      <c r="O40" s="17">
        <v>0</v>
      </c>
      <c r="P40" s="17">
        <v>6</v>
      </c>
      <c r="Q40" s="14" t="s">
        <v>539</v>
      </c>
      <c r="R40" s="4">
        <v>40309</v>
      </c>
      <c r="S40" s="145">
        <v>0.6</v>
      </c>
      <c r="T40" s="145">
        <f t="shared" si="6"/>
        <v>2.3541715985387959</v>
      </c>
      <c r="U40" s="114">
        <f t="shared" si="9"/>
        <v>15.877655824104933</v>
      </c>
      <c r="V40" s="114">
        <v>21.5</v>
      </c>
      <c r="W40" s="120">
        <f t="shared" si="5"/>
        <v>82.086368635713157</v>
      </c>
      <c r="X40" s="147">
        <f t="shared" si="7"/>
        <v>0.50446534254402775</v>
      </c>
      <c r="Y40" s="147">
        <f t="shared" si="8"/>
        <v>0.19822967321342277</v>
      </c>
    </row>
    <row r="41" spans="2:25" s="12" customFormat="1" ht="50" x14ac:dyDescent="0.3">
      <c r="B41" s="23"/>
      <c r="C41" s="129">
        <v>34701.226388888892</v>
      </c>
      <c r="D41" s="123">
        <v>0.06</v>
      </c>
      <c r="E41" s="126">
        <v>212.5</v>
      </c>
      <c r="F41" s="114">
        <v>40</v>
      </c>
      <c r="G41" s="18">
        <v>11.2</v>
      </c>
      <c r="H41" s="18">
        <v>-0.4</v>
      </c>
      <c r="I41" s="18">
        <f t="shared" si="10"/>
        <v>4.8481012813702318</v>
      </c>
      <c r="J41" s="120" t="s">
        <v>435</v>
      </c>
      <c r="K41" s="120"/>
      <c r="L41" s="120"/>
      <c r="M41" s="18">
        <v>25</v>
      </c>
      <c r="N41" s="140"/>
      <c r="O41" s="17">
        <v>3</v>
      </c>
      <c r="P41" s="17">
        <v>0</v>
      </c>
      <c r="Q41" s="14" t="s">
        <v>528</v>
      </c>
      <c r="R41" s="4">
        <v>40308</v>
      </c>
      <c r="S41" s="145">
        <v>0.6</v>
      </c>
      <c r="T41" s="145">
        <f t="shared" si="6"/>
        <v>2.3541715985387959</v>
      </c>
      <c r="U41" s="114">
        <f t="shared" si="9"/>
        <v>15.877655824104933</v>
      </c>
      <c r="V41" s="114">
        <v>21.5</v>
      </c>
      <c r="W41" s="120">
        <f t="shared" si="5"/>
        <v>82.087720363776128</v>
      </c>
      <c r="X41" s="147">
        <f t="shared" si="7"/>
        <v>0.50446534254402775</v>
      </c>
      <c r="Y41" s="147">
        <f t="shared" si="8"/>
        <v>0.19822967321342277</v>
      </c>
    </row>
    <row r="42" spans="2:25" s="12" customFormat="1" ht="62.5" x14ac:dyDescent="0.3">
      <c r="B42" s="23"/>
      <c r="C42" s="36">
        <v>34707.23333333333</v>
      </c>
      <c r="D42" s="123">
        <v>0.06</v>
      </c>
      <c r="E42" s="126">
        <v>212</v>
      </c>
      <c r="F42" s="114">
        <v>40</v>
      </c>
      <c r="G42" s="18">
        <v>11.2</v>
      </c>
      <c r="H42" s="18">
        <v>-0.4</v>
      </c>
      <c r="I42" s="18">
        <f t="shared" si="10"/>
        <v>4.8481012813702318</v>
      </c>
      <c r="J42" s="120" t="s">
        <v>435</v>
      </c>
      <c r="K42" s="120"/>
      <c r="L42" s="120"/>
      <c r="M42" s="18">
        <v>25</v>
      </c>
      <c r="N42" s="140"/>
      <c r="O42" s="17">
        <v>0</v>
      </c>
      <c r="P42" s="17">
        <v>3</v>
      </c>
      <c r="Q42" s="14" t="s">
        <v>540</v>
      </c>
      <c r="R42" s="4">
        <v>40309</v>
      </c>
      <c r="S42" s="145">
        <v>0.6</v>
      </c>
      <c r="T42" s="145">
        <f t="shared" si="6"/>
        <v>2.3541715985387959</v>
      </c>
      <c r="U42" s="114">
        <f t="shared" si="9"/>
        <v>15.877655824104933</v>
      </c>
      <c r="V42" s="114">
        <v>21.2</v>
      </c>
      <c r="W42" s="120">
        <f t="shared" si="5"/>
        <v>87.933944217085738</v>
      </c>
      <c r="X42" s="147">
        <f t="shared" si="7"/>
        <v>0.50446534254402775</v>
      </c>
      <c r="Y42" s="147">
        <f t="shared" si="8"/>
        <v>0.19822967321342277</v>
      </c>
    </row>
    <row r="43" spans="2:25" s="12" customFormat="1" ht="87.5" x14ac:dyDescent="0.3">
      <c r="B43" s="23"/>
      <c r="C43" s="129">
        <v>34707.234027777777</v>
      </c>
      <c r="D43" s="123">
        <v>0.05</v>
      </c>
      <c r="E43" s="126">
        <v>160.69999999999999</v>
      </c>
      <c r="F43" s="114">
        <v>42</v>
      </c>
      <c r="G43" s="18">
        <v>11.8</v>
      </c>
      <c r="H43" s="18">
        <v>-0.5</v>
      </c>
      <c r="I43" s="18">
        <f t="shared" si="10"/>
        <v>4.8614646474570549</v>
      </c>
      <c r="J43" s="120" t="s">
        <v>435</v>
      </c>
      <c r="K43" s="120"/>
      <c r="L43" s="120"/>
      <c r="M43" s="18">
        <v>33</v>
      </c>
      <c r="N43" s="140"/>
      <c r="O43" s="17">
        <v>4</v>
      </c>
      <c r="P43" s="17">
        <v>0</v>
      </c>
      <c r="Q43" s="14" t="s">
        <v>529</v>
      </c>
      <c r="R43" s="4">
        <v>40308</v>
      </c>
      <c r="S43" s="145">
        <v>0.6</v>
      </c>
      <c r="T43" s="145">
        <f t="shared" si="6"/>
        <v>1.8310048580706904</v>
      </c>
      <c r="U43" s="114">
        <f t="shared" si="9"/>
        <v>16.54667169202936</v>
      </c>
      <c r="V43" s="114">
        <v>21.2</v>
      </c>
      <c r="W43" s="120">
        <f t="shared" si="5"/>
        <v>87.934620081117231</v>
      </c>
      <c r="X43" s="147">
        <f t="shared" si="7"/>
        <v>0.37240776774319123</v>
      </c>
      <c r="Y43" s="147">
        <f t="shared" si="8"/>
        <v>0.26852286300579808</v>
      </c>
    </row>
    <row r="44" spans="2:25" s="12" customFormat="1" ht="50" x14ac:dyDescent="0.3">
      <c r="B44" s="23"/>
      <c r="C44" s="129">
        <v>34714.209027777775</v>
      </c>
      <c r="D44" s="123">
        <v>0.03</v>
      </c>
      <c r="E44" s="126">
        <v>89.1</v>
      </c>
      <c r="F44" s="114">
        <v>45</v>
      </c>
      <c r="G44" s="18">
        <v>12.4</v>
      </c>
      <c r="H44" s="18">
        <v>-0.7</v>
      </c>
      <c r="I44" s="18">
        <f t="shared" si="10"/>
        <v>4.7692043245446314</v>
      </c>
      <c r="J44" s="120" t="s">
        <v>435</v>
      </c>
      <c r="K44" s="120"/>
      <c r="L44" s="120"/>
      <c r="M44" s="18">
        <v>32</v>
      </c>
      <c r="N44" s="140"/>
      <c r="O44" s="17">
        <v>3</v>
      </c>
      <c r="P44" s="17">
        <v>0</v>
      </c>
      <c r="Q44" s="14" t="s">
        <v>530</v>
      </c>
      <c r="R44" s="4">
        <v>40308</v>
      </c>
      <c r="S44" s="145">
        <v>0.6</v>
      </c>
      <c r="T44" s="145">
        <f t="shared" si="6"/>
        <v>1.8814885629712417</v>
      </c>
      <c r="U44" s="114">
        <f t="shared" si="9"/>
        <v>17.515257163739175</v>
      </c>
      <c r="V44" s="114">
        <v>20.8</v>
      </c>
      <c r="W44" s="120">
        <f t="shared" si="5"/>
        <v>94.722998391255103</v>
      </c>
      <c r="X44" s="147">
        <f t="shared" si="7"/>
        <v>0.3641590767041113</v>
      </c>
      <c r="Y44" s="147">
        <f t="shared" si="8"/>
        <v>0.27460526565771309</v>
      </c>
    </row>
    <row r="45" spans="2:25" s="12" customFormat="1" ht="87.5" x14ac:dyDescent="0.3">
      <c r="B45" s="23"/>
      <c r="C45" s="129">
        <v>34723.175694444442</v>
      </c>
      <c r="D45" s="123">
        <v>0.02</v>
      </c>
      <c r="E45" s="126">
        <v>357.6</v>
      </c>
      <c r="F45" s="114">
        <v>49</v>
      </c>
      <c r="G45" s="18">
        <v>13.1</v>
      </c>
      <c r="H45" s="18">
        <v>-0.9</v>
      </c>
      <c r="I45" s="18">
        <f t="shared" si="10"/>
        <v>4.6884980925574364</v>
      </c>
      <c r="J45" s="120" t="s">
        <v>435</v>
      </c>
      <c r="K45" s="120"/>
      <c r="L45" s="120"/>
      <c r="M45" s="18">
        <v>31</v>
      </c>
      <c r="N45" s="140"/>
      <c r="O45" s="17">
        <v>3</v>
      </c>
      <c r="P45" s="17">
        <v>0</v>
      </c>
      <c r="Q45" s="14" t="s">
        <v>536</v>
      </c>
      <c r="R45" s="4">
        <v>40309</v>
      </c>
      <c r="S45" s="145">
        <v>0.6</v>
      </c>
      <c r="T45" s="145">
        <f t="shared" si="6"/>
        <v>1.9354257648171831</v>
      </c>
      <c r="U45" s="114">
        <f t="shared" si="9"/>
        <v>18.736752835323482</v>
      </c>
      <c r="V45" s="114">
        <v>20.2</v>
      </c>
      <c r="W45" s="120">
        <f t="shared" si="5"/>
        <v>103.44975473738447</v>
      </c>
      <c r="X45" s="147">
        <f t="shared" si="7"/>
        <v>0.35458181950849155</v>
      </c>
      <c r="Y45" s="147">
        <f t="shared" si="8"/>
        <v>0.282022355626175</v>
      </c>
    </row>
    <row r="46" spans="2:25" s="12" customFormat="1" ht="62.5" x14ac:dyDescent="0.3">
      <c r="B46" s="23"/>
      <c r="C46" s="129">
        <v>34723.18472222222</v>
      </c>
      <c r="D46" s="123">
        <v>0.02</v>
      </c>
      <c r="E46" s="126">
        <v>0.7</v>
      </c>
      <c r="F46" s="114">
        <v>49</v>
      </c>
      <c r="G46" s="18">
        <v>13.1</v>
      </c>
      <c r="H46" s="18">
        <v>-0.9</v>
      </c>
      <c r="I46" s="18">
        <f>-LOG((1/(G46^2))*(2.511^(-H46)))/LOG(2.511)</f>
        <v>4.6884980925574364</v>
      </c>
      <c r="J46" s="120" t="s">
        <v>435</v>
      </c>
      <c r="K46" s="120"/>
      <c r="L46" s="120"/>
      <c r="M46" s="18">
        <v>34</v>
      </c>
      <c r="N46" s="140"/>
      <c r="O46" s="17">
        <v>0</v>
      </c>
      <c r="P46" s="17">
        <v>2</v>
      </c>
      <c r="Q46" s="14" t="s">
        <v>541</v>
      </c>
      <c r="R46" s="4">
        <v>40309</v>
      </c>
      <c r="S46" s="145">
        <v>0.6</v>
      </c>
      <c r="T46" s="145">
        <f t="shared" si="6"/>
        <v>1.7836764629110244</v>
      </c>
      <c r="U46" s="114">
        <f t="shared" si="9"/>
        <v>18.736752835323482</v>
      </c>
      <c r="V46" s="114">
        <v>20.2</v>
      </c>
      <c r="W46" s="120">
        <f t="shared" si="5"/>
        <v>103.45854096976549</v>
      </c>
      <c r="X46" s="147">
        <f t="shared" si="7"/>
        <v>0.32678042068598923</v>
      </c>
      <c r="Y46" s="147">
        <f t="shared" si="8"/>
        <v>0.3060158861111581</v>
      </c>
    </row>
    <row r="47" spans="2:25" s="12" customFormat="1" ht="62.5" x14ac:dyDescent="0.3">
      <c r="B47" s="23"/>
      <c r="C47" s="129">
        <v>34727.217361111114</v>
      </c>
      <c r="D47" s="123">
        <v>0.01</v>
      </c>
      <c r="E47" s="126">
        <v>337</v>
      </c>
      <c r="F47" s="114">
        <v>51</v>
      </c>
      <c r="G47" s="18">
        <v>13.4</v>
      </c>
      <c r="H47" s="18">
        <v>-1</v>
      </c>
      <c r="I47" s="18">
        <f>-LOG((1/(G47^2))*(2.511^(-H47)))/LOG(2.511)</f>
        <v>4.6376844552128853</v>
      </c>
      <c r="J47" s="120" t="s">
        <v>435</v>
      </c>
      <c r="K47" s="120"/>
      <c r="L47" s="120"/>
      <c r="M47" s="18">
        <v>49</v>
      </c>
      <c r="N47" s="140"/>
      <c r="O47" s="17">
        <v>0</v>
      </c>
      <c r="P47" s="17">
        <v>6</v>
      </c>
      <c r="Q47" s="14" t="s">
        <v>543</v>
      </c>
      <c r="R47" s="4">
        <v>40309</v>
      </c>
      <c r="S47" s="145">
        <v>0.6</v>
      </c>
      <c r="T47" s="145">
        <f t="shared" si="6"/>
        <v>1.3236389537322235</v>
      </c>
      <c r="U47" s="114">
        <f t="shared" si="9"/>
        <v>19.315513356707893</v>
      </c>
      <c r="V47" s="114">
        <v>19.899999999999999</v>
      </c>
      <c r="W47" s="120">
        <f t="shared" si="5"/>
        <v>107.38328338782833</v>
      </c>
      <c r="X47" s="147">
        <f t="shared" si="7"/>
        <v>0.23706966335502511</v>
      </c>
      <c r="Y47" s="147">
        <f t="shared" si="8"/>
        <v>0.42181694015503113</v>
      </c>
    </row>
    <row r="48" spans="2:25" s="12" customFormat="1" ht="87.5" x14ac:dyDescent="0.3">
      <c r="B48" s="23"/>
      <c r="C48" s="129">
        <v>34727.228472222225</v>
      </c>
      <c r="D48" s="123">
        <v>0.01</v>
      </c>
      <c r="E48" s="126">
        <v>340.9</v>
      </c>
      <c r="F48" s="114">
        <v>51</v>
      </c>
      <c r="G48" s="18">
        <v>13.4</v>
      </c>
      <c r="H48" s="18">
        <v>-1</v>
      </c>
      <c r="I48" s="18">
        <f t="shared" si="10"/>
        <v>4.6376844552128853</v>
      </c>
      <c r="J48" s="120" t="s">
        <v>435</v>
      </c>
      <c r="K48" s="120"/>
      <c r="L48" s="120"/>
      <c r="M48" s="18">
        <v>52</v>
      </c>
      <c r="N48" s="140"/>
      <c r="O48" s="17">
        <v>3</v>
      </c>
      <c r="P48" s="17">
        <v>0</v>
      </c>
      <c r="Q48" s="14" t="s">
        <v>535</v>
      </c>
      <c r="R48" s="4">
        <v>40309</v>
      </c>
      <c r="S48" s="145">
        <v>0.6</v>
      </c>
      <c r="T48" s="145">
        <f t="shared" si="6"/>
        <v>1.2679069016723665</v>
      </c>
      <c r="U48" s="114">
        <f t="shared" si="9"/>
        <v>19.315513356707893</v>
      </c>
      <c r="V48" s="114">
        <v>19.899999999999999</v>
      </c>
      <c r="W48" s="120">
        <f t="shared" si="5"/>
        <v>107.39409721229673</v>
      </c>
      <c r="X48" s="147">
        <f t="shared" si="7"/>
        <v>0.22708780328460296</v>
      </c>
      <c r="Y48" s="147">
        <f t="shared" si="8"/>
        <v>0.44035830438093909</v>
      </c>
    </row>
    <row r="49" spans="1:25" s="12" customFormat="1" ht="62.5" x14ac:dyDescent="0.3">
      <c r="B49" s="23"/>
      <c r="C49" s="129">
        <v>34735.136111111111</v>
      </c>
      <c r="D49" s="123">
        <v>0</v>
      </c>
      <c r="E49" s="126">
        <v>238.6</v>
      </c>
      <c r="F49" s="114">
        <v>55</v>
      </c>
      <c r="G49" s="18">
        <v>13.8</v>
      </c>
      <c r="H49" s="18">
        <v>-1.2</v>
      </c>
      <c r="I49" s="18">
        <f>-LOG((1/(G49^2))*(2.511^(-H49)))/LOG(2.511)</f>
        <v>4.5015803814780115</v>
      </c>
      <c r="J49" s="120" t="s">
        <v>435</v>
      </c>
      <c r="K49" s="120"/>
      <c r="L49" s="120"/>
      <c r="M49" s="18">
        <v>33</v>
      </c>
      <c r="N49" s="140"/>
      <c r="O49" s="17">
        <v>0</v>
      </c>
      <c r="P49" s="17">
        <v>6</v>
      </c>
      <c r="Q49" s="14" t="s">
        <v>542</v>
      </c>
      <c r="R49" s="4">
        <v>40309</v>
      </c>
      <c r="S49" s="145">
        <v>0.6</v>
      </c>
      <c r="T49" s="145">
        <f t="shared" si="6"/>
        <v>1.8310048580706904</v>
      </c>
      <c r="U49" s="114">
        <f t="shared" si="9"/>
        <v>20.404680299322521</v>
      </c>
      <c r="V49" s="114">
        <v>19.2</v>
      </c>
      <c r="W49" s="120">
        <f t="shared" si="5"/>
        <v>115.09016091376321</v>
      </c>
      <c r="X49" s="147">
        <f t="shared" si="7"/>
        <v>0.31843562749055482</v>
      </c>
      <c r="Y49" s="147">
        <f t="shared" si="8"/>
        <v>0.31403521266779777</v>
      </c>
    </row>
    <row r="50" spans="1:25" s="12" customFormat="1" ht="87.5" x14ac:dyDescent="0.3">
      <c r="B50" s="23"/>
      <c r="C50" s="129">
        <v>34735.164583333331</v>
      </c>
      <c r="D50" s="123">
        <v>0</v>
      </c>
      <c r="E50" s="126">
        <v>248.6</v>
      </c>
      <c r="F50" s="114">
        <v>55</v>
      </c>
      <c r="G50" s="18">
        <v>13.8</v>
      </c>
      <c r="H50" s="18">
        <v>-1.2</v>
      </c>
      <c r="I50" s="18">
        <f t="shared" si="10"/>
        <v>4.5015803814780115</v>
      </c>
      <c r="J50" s="120" t="s">
        <v>435</v>
      </c>
      <c r="K50" s="120"/>
      <c r="L50" s="120"/>
      <c r="M50" s="18">
        <v>42</v>
      </c>
      <c r="N50" s="140"/>
      <c r="O50" s="17">
        <v>2</v>
      </c>
      <c r="P50" s="17">
        <v>0</v>
      </c>
      <c r="Q50" s="14" t="s">
        <v>534</v>
      </c>
      <c r="R50" s="4">
        <v>40309</v>
      </c>
      <c r="S50" s="145">
        <v>0.6</v>
      </c>
      <c r="T50" s="145">
        <f t="shared" si="6"/>
        <v>1.4921516313957157</v>
      </c>
      <c r="U50" s="114">
        <f t="shared" si="9"/>
        <v>20.404680299322521</v>
      </c>
      <c r="V50" s="114">
        <v>19.2</v>
      </c>
      <c r="W50" s="120">
        <f t="shared" si="5"/>
        <v>115.11787133896217</v>
      </c>
      <c r="X50" s="147">
        <f t="shared" si="7"/>
        <v>0.25950463154708098</v>
      </c>
      <c r="Y50" s="147">
        <f t="shared" si="8"/>
        <v>0.38534957701461053</v>
      </c>
    </row>
    <row r="51" spans="1:25" s="12" customFormat="1" ht="50" x14ac:dyDescent="0.3">
      <c r="B51" s="23"/>
      <c r="C51" s="129">
        <v>34748.12777777778</v>
      </c>
      <c r="D51" s="123">
        <v>0</v>
      </c>
      <c r="E51" s="126">
        <v>122.5</v>
      </c>
      <c r="F51" s="114">
        <v>60</v>
      </c>
      <c r="G51" s="18">
        <v>13.8</v>
      </c>
      <c r="H51" s="18">
        <v>-1.2</v>
      </c>
      <c r="I51" s="18">
        <f t="shared" ref="I51:I57" si="11">-LOG((1/(G51^2))*(2.511^(-H51)))/LOG(2.511)</f>
        <v>4.5015803814780115</v>
      </c>
      <c r="J51" s="120" t="s">
        <v>435</v>
      </c>
      <c r="K51" s="120"/>
      <c r="L51" s="120"/>
      <c r="M51" s="18">
        <v>47</v>
      </c>
      <c r="N51" s="140"/>
      <c r="O51" s="17">
        <v>3</v>
      </c>
      <c r="P51" s="17">
        <v>0</v>
      </c>
      <c r="Q51" s="14" t="s">
        <v>531</v>
      </c>
      <c r="R51" s="4">
        <v>40309</v>
      </c>
      <c r="S51" s="145">
        <v>0.6</v>
      </c>
      <c r="T51" s="145">
        <f t="shared" si="6"/>
        <v>1.3657386808899947</v>
      </c>
      <c r="U51" s="114">
        <f t="shared" si="9"/>
        <v>21.629234526153521</v>
      </c>
      <c r="V51" s="126">
        <v>18</v>
      </c>
      <c r="W51" s="120">
        <f t="shared" si="5"/>
        <v>127.73422517363029</v>
      </c>
      <c r="X51" s="147">
        <f t="shared" si="7"/>
        <v>0.23751977058956431</v>
      </c>
      <c r="Y51" s="147">
        <f t="shared" si="8"/>
        <v>0.4210175841437665</v>
      </c>
    </row>
    <row r="52" spans="1:25" s="12" customFormat="1" ht="37.5" x14ac:dyDescent="0.3">
      <c r="B52" s="23"/>
      <c r="C52" s="129">
        <v>34748.206250000003</v>
      </c>
      <c r="D52" s="123">
        <v>0</v>
      </c>
      <c r="E52" s="126">
        <v>150</v>
      </c>
      <c r="F52" s="114">
        <v>60</v>
      </c>
      <c r="G52" s="18">
        <v>13.8</v>
      </c>
      <c r="H52" s="18">
        <v>-1.2</v>
      </c>
      <c r="I52" s="18">
        <f t="shared" si="11"/>
        <v>4.5015803814780115</v>
      </c>
      <c r="J52" s="120" t="s">
        <v>435</v>
      </c>
      <c r="K52" s="120"/>
      <c r="L52" s="120"/>
      <c r="M52" s="18">
        <v>71</v>
      </c>
      <c r="N52" s="140"/>
      <c r="O52" s="17">
        <v>2</v>
      </c>
      <c r="P52" s="17">
        <v>0</v>
      </c>
      <c r="Q52" s="14" t="s">
        <v>532</v>
      </c>
      <c r="R52" s="4">
        <v>40309</v>
      </c>
      <c r="S52" s="145">
        <v>0.6</v>
      </c>
      <c r="T52" s="145">
        <f t="shared" si="6"/>
        <v>1.0573271479172213</v>
      </c>
      <c r="U52" s="114">
        <f t="shared" si="9"/>
        <v>21.629234526153521</v>
      </c>
      <c r="V52" s="114">
        <v>18</v>
      </c>
      <c r="W52" s="120">
        <f t="shared" si="5"/>
        <v>127.8105978089406</v>
      </c>
      <c r="X52" s="147">
        <f t="shared" si="7"/>
        <v>0.18388298224647326</v>
      </c>
      <c r="Y52" s="147">
        <f t="shared" si="8"/>
        <v>0.54382411454455259</v>
      </c>
    </row>
    <row r="53" spans="1:25" s="12" customFormat="1" ht="75" x14ac:dyDescent="0.3">
      <c r="B53" s="23"/>
      <c r="C53" s="129">
        <v>34758.15</v>
      </c>
      <c r="D53" s="123">
        <v>0.01</v>
      </c>
      <c r="E53" s="126">
        <v>42.7</v>
      </c>
      <c r="F53" s="114">
        <v>65</v>
      </c>
      <c r="G53" s="18">
        <v>13.3</v>
      </c>
      <c r="H53" s="18">
        <v>-1</v>
      </c>
      <c r="I53" s="18">
        <f t="shared" si="11"/>
        <v>4.6214124324887296</v>
      </c>
      <c r="J53" s="120" t="s">
        <v>435</v>
      </c>
      <c r="K53" s="120"/>
      <c r="L53" s="120"/>
      <c r="M53" s="18">
        <v>66</v>
      </c>
      <c r="N53" s="140"/>
      <c r="O53" s="17">
        <v>0</v>
      </c>
      <c r="P53" s="17">
        <v>6</v>
      </c>
      <c r="Q53" s="14" t="s">
        <v>544</v>
      </c>
      <c r="R53" s="4">
        <v>40308</v>
      </c>
      <c r="S53" s="145">
        <v>0.6</v>
      </c>
      <c r="T53" s="145">
        <f t="shared" si="6"/>
        <v>1.0942116633831585</v>
      </c>
      <c r="U53" s="114">
        <f t="shared" si="9"/>
        <v>22.689933700477585</v>
      </c>
      <c r="V53" s="114">
        <v>17.2</v>
      </c>
      <c r="W53" s="120">
        <f t="shared" si="5"/>
        <v>137.48829484427219</v>
      </c>
      <c r="X53" s="147">
        <f t="shared" si="7"/>
        <v>0.1974517287307955</v>
      </c>
      <c r="Y53" s="147">
        <f t="shared" si="8"/>
        <v>0.50645289683099914</v>
      </c>
    </row>
    <row r="54" spans="1:25" s="12" customFormat="1" ht="37.5" x14ac:dyDescent="0.3">
      <c r="B54" s="23"/>
      <c r="C54" s="129">
        <v>34778.201388888891</v>
      </c>
      <c r="D54" s="123">
        <v>0.05</v>
      </c>
      <c r="E54" s="126">
        <v>242.3</v>
      </c>
      <c r="F54" s="114">
        <v>74</v>
      </c>
      <c r="G54" s="18">
        <v>11.5</v>
      </c>
      <c r="H54" s="18">
        <v>-0.5</v>
      </c>
      <c r="I54" s="18">
        <f t="shared" si="11"/>
        <v>4.8055223745963866</v>
      </c>
      <c r="J54" s="120" t="s">
        <v>435</v>
      </c>
      <c r="K54" s="120"/>
      <c r="L54" s="120"/>
      <c r="M54" s="18">
        <v>71</v>
      </c>
      <c r="N54" s="140"/>
      <c r="O54" s="17">
        <v>1</v>
      </c>
      <c r="P54" s="17">
        <v>0</v>
      </c>
      <c r="Q54" s="14" t="s">
        <v>533</v>
      </c>
      <c r="R54" s="4">
        <v>40309</v>
      </c>
      <c r="S54" s="145">
        <v>0.6</v>
      </c>
      <c r="T54" s="145">
        <f t="shared" si="6"/>
        <v>1.0573271479172213</v>
      </c>
      <c r="U54" s="114">
        <f t="shared" si="9"/>
        <v>24.15041507091567</v>
      </c>
      <c r="V54" s="114">
        <v>16.8</v>
      </c>
      <c r="W54" s="120">
        <f t="shared" si="5"/>
        <v>157.0031928258496</v>
      </c>
      <c r="X54" s="147">
        <f t="shared" si="7"/>
        <v>0.22065957869576791</v>
      </c>
      <c r="Y54" s="147">
        <f t="shared" si="8"/>
        <v>0.4531867621204605</v>
      </c>
    </row>
    <row r="55" spans="1:25" s="12" customFormat="1" ht="37.5" x14ac:dyDescent="0.3">
      <c r="B55" s="23"/>
      <c r="C55" s="129">
        <v>34791.194444444445</v>
      </c>
      <c r="D55" s="123">
        <v>7.0000000000000007E-2</v>
      </c>
      <c r="E55" s="126">
        <v>121.2</v>
      </c>
      <c r="F55" s="114">
        <v>79</v>
      </c>
      <c r="G55" s="18">
        <v>10.3</v>
      </c>
      <c r="H55" s="18">
        <v>-0.1</v>
      </c>
      <c r="I55" s="18">
        <f t="shared" si="11"/>
        <v>4.966127555898443</v>
      </c>
      <c r="J55" s="120" t="s">
        <v>435</v>
      </c>
      <c r="K55" s="120"/>
      <c r="L55" s="120"/>
      <c r="M55" s="18">
        <v>63</v>
      </c>
      <c r="N55" s="140"/>
      <c r="O55" s="17">
        <v>1</v>
      </c>
      <c r="P55" s="17">
        <v>0</v>
      </c>
      <c r="Q55" s="14" t="s">
        <v>545</v>
      </c>
      <c r="R55" s="4">
        <v>40309</v>
      </c>
      <c r="S55" s="145">
        <v>0.6</v>
      </c>
      <c r="T55" s="145">
        <f t="shared" si="6"/>
        <v>1.1218027795687744</v>
      </c>
      <c r="U55" s="114">
        <f t="shared" si="9"/>
        <v>24.695864589518376</v>
      </c>
      <c r="V55" s="114">
        <v>17.399999999999999</v>
      </c>
      <c r="W55" s="120">
        <f t="shared" si="5"/>
        <v>169.64860881377257</v>
      </c>
      <c r="X55" s="147">
        <f t="shared" si="7"/>
        <v>0.26139093892864645</v>
      </c>
      <c r="Y55" s="147">
        <f t="shared" si="8"/>
        <v>0.38256873176195921</v>
      </c>
    </row>
    <row r="56" spans="1:25" s="12" customFormat="1" ht="75" x14ac:dyDescent="0.3">
      <c r="B56" s="23"/>
      <c r="C56" s="129">
        <v>35817.033333333333</v>
      </c>
      <c r="D56" s="123">
        <v>0.02</v>
      </c>
      <c r="E56" s="126">
        <v>243.6</v>
      </c>
      <c r="F56" s="114">
        <v>260</v>
      </c>
      <c r="G56" s="18">
        <v>4.3</v>
      </c>
      <c r="H56" s="18">
        <v>1.2</v>
      </c>
      <c r="I56" s="18">
        <f t="shared" si="11"/>
        <v>4.3685565264826733</v>
      </c>
      <c r="J56" s="120" t="s">
        <v>435</v>
      </c>
      <c r="K56" s="120"/>
      <c r="L56" s="120"/>
      <c r="M56" s="18">
        <v>14</v>
      </c>
      <c r="N56" s="140"/>
      <c r="O56" s="17">
        <v>0</v>
      </c>
      <c r="P56" s="17">
        <v>10</v>
      </c>
      <c r="Q56" s="14" t="s">
        <v>524</v>
      </c>
      <c r="R56" s="4">
        <v>40308</v>
      </c>
      <c r="S56" s="145">
        <v>0.6</v>
      </c>
      <c r="T56" s="145">
        <f t="shared" si="6"/>
        <v>4.0656348389628336</v>
      </c>
      <c r="U56" s="114">
        <f t="shared" si="9"/>
        <v>-24.781264362701712</v>
      </c>
      <c r="V56" s="114">
        <v>-22.9</v>
      </c>
      <c r="W56" s="120">
        <f t="shared" si="5"/>
        <v>499.44825978591899</v>
      </c>
      <c r="X56" s="147">
        <f t="shared" si="7"/>
        <v>2.2691915380257677</v>
      </c>
      <c r="Y56" s="147">
        <f t="shared" si="8"/>
        <v>4.4068558481846612E-2</v>
      </c>
    </row>
    <row r="57" spans="1:25" s="12" customFormat="1" ht="62.5" x14ac:dyDescent="0.3">
      <c r="B57" s="23"/>
      <c r="C57" s="129">
        <v>36416.090277777781</v>
      </c>
      <c r="D57" s="123">
        <v>0.14000000000000001</v>
      </c>
      <c r="E57" s="126">
        <v>285.7</v>
      </c>
      <c r="F57" s="114">
        <v>205</v>
      </c>
      <c r="G57" s="18">
        <v>7.5</v>
      </c>
      <c r="H57" s="18">
        <v>0.4</v>
      </c>
      <c r="I57" s="18">
        <f t="shared" si="11"/>
        <v>4.7769836568343482</v>
      </c>
      <c r="J57" s="120" t="s">
        <v>435</v>
      </c>
      <c r="K57" s="120"/>
      <c r="L57" s="120"/>
      <c r="M57" s="18">
        <v>19</v>
      </c>
      <c r="N57" s="140"/>
      <c r="O57" s="17">
        <v>0</v>
      </c>
      <c r="P57" s="17">
        <v>1</v>
      </c>
      <c r="Q57" s="128" t="s">
        <v>525</v>
      </c>
      <c r="R57" s="4">
        <v>40308</v>
      </c>
      <c r="S57" s="145">
        <v>0.6</v>
      </c>
      <c r="T57" s="145">
        <f t="shared" si="6"/>
        <v>3.043962501764153</v>
      </c>
      <c r="U57" s="114">
        <f t="shared" si="9"/>
        <v>-10.362499998113266</v>
      </c>
      <c r="V57" s="114">
        <v>8.9</v>
      </c>
      <c r="W57" s="120">
        <f t="shared" si="5"/>
        <v>413.88485773645868</v>
      </c>
      <c r="X57" s="147">
        <f t="shared" si="7"/>
        <v>0.97406800056452891</v>
      </c>
      <c r="Y57" s="147">
        <f t="shared" si="8"/>
        <v>0.1026622370738431</v>
      </c>
    </row>
    <row r="58" spans="1:25" s="12" customFormat="1" ht="25" x14ac:dyDescent="0.3">
      <c r="B58" s="23"/>
      <c r="C58" s="36">
        <v>37861.208333333336</v>
      </c>
      <c r="D58" s="123">
        <v>0</v>
      </c>
      <c r="E58" s="126">
        <v>42.7</v>
      </c>
      <c r="F58" s="114">
        <v>250</v>
      </c>
      <c r="G58" s="18">
        <v>25.1</v>
      </c>
      <c r="H58" s="18">
        <v>-2.9</v>
      </c>
      <c r="I58" s="18">
        <f t="shared" si="0"/>
        <v>4.1010515378975274</v>
      </c>
      <c r="J58" s="120" t="s">
        <v>435</v>
      </c>
      <c r="K58" s="120"/>
      <c r="L58" s="120"/>
      <c r="M58" s="18">
        <v>26</v>
      </c>
      <c r="N58" s="140"/>
      <c r="O58" s="17">
        <v>0</v>
      </c>
      <c r="P58" s="17">
        <v>1</v>
      </c>
      <c r="Q58" s="14" t="s">
        <v>503</v>
      </c>
      <c r="R58" s="4">
        <v>40302</v>
      </c>
      <c r="S58" s="145">
        <v>0.6</v>
      </c>
      <c r="T58" s="145">
        <f t="shared" si="6"/>
        <v>2.2705060788377418</v>
      </c>
      <c r="U58" s="114">
        <f t="shared" si="9"/>
        <v>-23.575256194823982</v>
      </c>
      <c r="V58" s="114">
        <v>-18.8</v>
      </c>
      <c r="W58" s="120">
        <f t="shared" si="5"/>
        <v>483.15342675782125</v>
      </c>
      <c r="X58" s="147">
        <f t="shared" si="7"/>
        <v>0.21710018283707488</v>
      </c>
      <c r="Y58" s="147">
        <f t="shared" si="8"/>
        <v>0.46061683916243434</v>
      </c>
    </row>
    <row r="59" spans="1:25" s="17" customFormat="1" ht="75" x14ac:dyDescent="0.25">
      <c r="A59" s="17" t="s">
        <v>488</v>
      </c>
      <c r="B59" s="23"/>
      <c r="C59" s="36">
        <v>38640.177083333336</v>
      </c>
      <c r="D59" s="123">
        <v>0.03</v>
      </c>
      <c r="E59" s="126">
        <v>56.5</v>
      </c>
      <c r="F59" s="114">
        <v>306</v>
      </c>
      <c r="G59" s="18">
        <v>19.399999999999999</v>
      </c>
      <c r="H59" s="18">
        <v>-2</v>
      </c>
      <c r="I59" s="18">
        <f t="shared" si="0"/>
        <v>4.4414771410404352</v>
      </c>
      <c r="J59" s="120" t="s">
        <v>435</v>
      </c>
      <c r="K59" s="120"/>
      <c r="L59" s="120"/>
      <c r="M59" s="18">
        <v>27</v>
      </c>
      <c r="N59" s="140">
        <v>0.8</v>
      </c>
      <c r="O59" s="17">
        <v>0</v>
      </c>
      <c r="P59" s="17">
        <v>1</v>
      </c>
      <c r="Q59" s="14" t="s">
        <v>560</v>
      </c>
      <c r="R59" s="19">
        <v>40324</v>
      </c>
      <c r="S59" s="145">
        <v>0.6</v>
      </c>
      <c r="T59" s="145">
        <f t="shared" si="6"/>
        <v>2.1931939234339084</v>
      </c>
      <c r="U59" s="114">
        <f t="shared" si="9"/>
        <v>-20.141201850350804</v>
      </c>
      <c r="V59" s="114">
        <v>-11.8</v>
      </c>
      <c r="W59" s="120">
        <f t="shared" si="5"/>
        <v>572.68814636732964</v>
      </c>
      <c r="X59" s="147">
        <f t="shared" si="7"/>
        <v>0.16957684975004444</v>
      </c>
      <c r="Y59" s="147">
        <f t="shared" si="8"/>
        <v>0.58970313546571707</v>
      </c>
    </row>
    <row r="60" spans="1:25" s="17" customFormat="1" ht="175" x14ac:dyDescent="0.25">
      <c r="B60" s="23"/>
      <c r="C60" s="36">
        <v>38640.197222222225</v>
      </c>
      <c r="D60" s="123">
        <v>0.03</v>
      </c>
      <c r="E60" s="126">
        <v>63.5</v>
      </c>
      <c r="F60" s="114">
        <v>307</v>
      </c>
      <c r="G60" s="18">
        <v>19.399999999999999</v>
      </c>
      <c r="H60" s="18">
        <v>-2</v>
      </c>
      <c r="I60" s="18">
        <f t="shared" si="0"/>
        <v>4.4414771410404352</v>
      </c>
      <c r="J60" s="120" t="s">
        <v>435</v>
      </c>
      <c r="K60" s="120"/>
      <c r="L60" s="120"/>
      <c r="M60" s="18">
        <v>33</v>
      </c>
      <c r="N60" s="140">
        <v>0.8</v>
      </c>
      <c r="O60" s="17">
        <v>0</v>
      </c>
      <c r="P60" s="17">
        <v>1</v>
      </c>
      <c r="Q60" s="14" t="s">
        <v>558</v>
      </c>
      <c r="R60" s="19">
        <v>40324</v>
      </c>
      <c r="S60" s="145">
        <v>0.6</v>
      </c>
      <c r="T60" s="145">
        <f t="shared" si="6"/>
        <v>1.8310048580706904</v>
      </c>
      <c r="U60" s="114">
        <f t="shared" si="9"/>
        <v>-19.871776787349532</v>
      </c>
      <c r="V60" s="114">
        <v>-11.8</v>
      </c>
      <c r="W60" s="120">
        <f t="shared" si="5"/>
        <v>572.70774642417905</v>
      </c>
      <c r="X60" s="147">
        <f t="shared" si="7"/>
        <v>0.14157254057247606</v>
      </c>
      <c r="Y60" s="147">
        <f t="shared" si="8"/>
        <v>0.70635166675423489</v>
      </c>
    </row>
    <row r="61" spans="1:25" s="17" customFormat="1" ht="225" x14ac:dyDescent="0.25">
      <c r="B61" s="23"/>
      <c r="C61" s="36">
        <v>38649.195833333331</v>
      </c>
      <c r="D61" s="123">
        <v>0.01</v>
      </c>
      <c r="E61" s="126">
        <v>343.1</v>
      </c>
      <c r="F61" s="114">
        <v>312</v>
      </c>
      <c r="G61" s="18">
        <v>20.100000000000001</v>
      </c>
      <c r="H61" s="18">
        <v>-2.2000000000000002</v>
      </c>
      <c r="I61" s="18">
        <f t="shared" si="0"/>
        <v>4.3184782867335629</v>
      </c>
      <c r="J61" s="120" t="s">
        <v>435</v>
      </c>
      <c r="K61" s="120"/>
      <c r="L61" s="120"/>
      <c r="M61" s="18">
        <v>41</v>
      </c>
      <c r="N61" s="140">
        <v>0.8</v>
      </c>
      <c r="O61" s="17">
        <v>0</v>
      </c>
      <c r="P61" s="17">
        <v>1</v>
      </c>
      <c r="Q61" s="14" t="s">
        <v>559</v>
      </c>
      <c r="R61" s="19">
        <v>40324</v>
      </c>
      <c r="S61" s="145">
        <v>0.6</v>
      </c>
      <c r="T61" s="145">
        <f t="shared" si="6"/>
        <v>1.5217348947311704</v>
      </c>
      <c r="U61" s="114">
        <f t="shared" si="9"/>
        <v>-18.439209594993486</v>
      </c>
      <c r="V61" s="114">
        <v>-13</v>
      </c>
      <c r="W61" s="120">
        <f t="shared" si="5"/>
        <v>581.46559251565066</v>
      </c>
      <c r="X61" s="147">
        <f t="shared" si="7"/>
        <v>0.11356230557695299</v>
      </c>
      <c r="Y61" s="147">
        <f t="shared" si="8"/>
        <v>0.88057387961569</v>
      </c>
    </row>
    <row r="62" spans="1:25" s="17" customFormat="1" ht="125" x14ac:dyDescent="0.25">
      <c r="B62" s="23"/>
      <c r="C62" s="36">
        <v>38658.237500000003</v>
      </c>
      <c r="D62" s="123">
        <v>0</v>
      </c>
      <c r="E62" s="126">
        <v>278.39999999999998</v>
      </c>
      <c r="F62" s="114">
        <v>317</v>
      </c>
      <c r="G62" s="18">
        <v>20.100000000000001</v>
      </c>
      <c r="H62" s="18">
        <v>-0.23</v>
      </c>
      <c r="I62" s="18">
        <f t="shared" si="0"/>
        <v>6.2884782867335627</v>
      </c>
      <c r="J62" s="120" t="s">
        <v>435</v>
      </c>
      <c r="K62" s="120"/>
      <c r="L62" s="120"/>
      <c r="M62" s="18">
        <v>59</v>
      </c>
      <c r="N62" s="140"/>
      <c r="O62" s="17">
        <v>0</v>
      </c>
      <c r="P62" s="17">
        <v>1</v>
      </c>
      <c r="Q62" s="14" t="s">
        <v>561</v>
      </c>
      <c r="R62" s="19">
        <v>40324</v>
      </c>
      <c r="S62" s="145">
        <v>0.6</v>
      </c>
      <c r="T62" s="145">
        <f t="shared" si="6"/>
        <v>1.1659455817528519</v>
      </c>
      <c r="U62" s="114">
        <f t="shared" si="9"/>
        <v>-16.874305122260981</v>
      </c>
      <c r="V62" s="114">
        <v>-14.7</v>
      </c>
      <c r="W62" s="120">
        <f t="shared" si="5"/>
        <v>590.26534217694712</v>
      </c>
      <c r="X62" s="147">
        <f t="shared" si="7"/>
        <v>0.13921738289586288</v>
      </c>
      <c r="Y62" s="147">
        <f t="shared" si="8"/>
        <v>0.71830110522047241</v>
      </c>
    </row>
    <row r="63" spans="1:25" s="17" customFormat="1" x14ac:dyDescent="0.25">
      <c r="B63" s="23"/>
      <c r="C63" s="36">
        <v>38676.229166666664</v>
      </c>
      <c r="D63" s="123">
        <v>0.01</v>
      </c>
      <c r="E63" s="126">
        <v>116.7</v>
      </c>
      <c r="F63" s="114">
        <v>327</v>
      </c>
      <c r="G63" s="18">
        <v>18.579999999999998</v>
      </c>
      <c r="H63" s="18">
        <v>-2</v>
      </c>
      <c r="I63" s="18">
        <f t="shared" si="0"/>
        <v>4.3476610876566513</v>
      </c>
      <c r="J63" s="120" t="s">
        <v>435</v>
      </c>
      <c r="K63" s="120"/>
      <c r="L63" s="120"/>
      <c r="M63" s="18">
        <v>65.5</v>
      </c>
      <c r="N63" s="140">
        <v>0.6</v>
      </c>
      <c r="Q63" s="23" t="s">
        <v>562</v>
      </c>
      <c r="R63" s="19">
        <v>40324</v>
      </c>
      <c r="S63" s="145">
        <v>0.6</v>
      </c>
      <c r="T63" s="145">
        <f t="shared" si="6"/>
        <v>1.0985079894787892</v>
      </c>
      <c r="U63" s="114">
        <f t="shared" si="9"/>
        <v>-13.403657961356764</v>
      </c>
      <c r="V63" s="114">
        <v>-17.7</v>
      </c>
      <c r="W63" s="120">
        <f t="shared" si="5"/>
        <v>607.77562744765964</v>
      </c>
      <c r="X63" s="147">
        <f t="shared" si="7"/>
        <v>0.11824628519685568</v>
      </c>
      <c r="Y63" s="147">
        <f t="shared" si="8"/>
        <v>0.84569252922847116</v>
      </c>
    </row>
    <row r="64" spans="1:25" s="17" customFormat="1" x14ac:dyDescent="0.25">
      <c r="B64" s="23"/>
      <c r="C64" s="36">
        <v>38701.154166666667</v>
      </c>
      <c r="D64" s="123">
        <v>0.06</v>
      </c>
      <c r="E64" s="126">
        <v>224.6</v>
      </c>
      <c r="F64" s="114">
        <v>341</v>
      </c>
      <c r="G64" s="18">
        <v>14.6</v>
      </c>
      <c r="H64" s="18">
        <v>-1.2</v>
      </c>
      <c r="I64" s="18">
        <f t="shared" si="0"/>
        <v>4.6239961403429435</v>
      </c>
      <c r="J64" s="120" t="s">
        <v>435</v>
      </c>
      <c r="K64" s="120"/>
      <c r="L64" s="120"/>
      <c r="M64" s="18">
        <v>65</v>
      </c>
      <c r="N64" s="140">
        <v>0.6</v>
      </c>
      <c r="O64" s="17">
        <v>0</v>
      </c>
      <c r="P64" s="17">
        <v>1</v>
      </c>
      <c r="Q64" s="14"/>
      <c r="R64" s="19">
        <v>40324</v>
      </c>
      <c r="S64" s="145">
        <v>0.6</v>
      </c>
      <c r="T64" s="145">
        <f t="shared" si="6"/>
        <v>1.1029223164254509</v>
      </c>
      <c r="U64" s="114">
        <f t="shared" si="9"/>
        <v>-7.9650351143057092</v>
      </c>
      <c r="V64" s="114">
        <v>-19.5</v>
      </c>
      <c r="W64" s="120">
        <f t="shared" si="5"/>
        <v>632.03373918676232</v>
      </c>
      <c r="X64" s="147">
        <f t="shared" si="7"/>
        <v>0.15108524882540425</v>
      </c>
      <c r="Y64" s="147">
        <f t="shared" si="8"/>
        <v>0.66187798463079006</v>
      </c>
    </row>
    <row r="65" spans="1:25" s="17" customFormat="1" x14ac:dyDescent="0.25">
      <c r="A65" s="42"/>
      <c r="B65" s="23"/>
      <c r="C65" s="36">
        <v>38729.238888888889</v>
      </c>
      <c r="D65" s="123">
        <v>0.1</v>
      </c>
      <c r="E65" s="126">
        <v>352.8</v>
      </c>
      <c r="F65" s="114">
        <v>355</v>
      </c>
      <c r="G65" s="18">
        <v>10.7</v>
      </c>
      <c r="H65" s="18">
        <v>-0.3</v>
      </c>
      <c r="I65" s="18">
        <f t="shared" si="0"/>
        <v>4.8488920376558164</v>
      </c>
      <c r="J65" s="120" t="s">
        <v>435</v>
      </c>
      <c r="K65" s="120"/>
      <c r="L65" s="120"/>
      <c r="M65" s="18">
        <v>41</v>
      </c>
      <c r="N65" s="141">
        <v>0.6</v>
      </c>
      <c r="O65" s="17">
        <v>0</v>
      </c>
      <c r="P65" s="17">
        <v>1</v>
      </c>
      <c r="Q65" s="14"/>
      <c r="R65" s="19">
        <v>40324</v>
      </c>
      <c r="S65" s="145">
        <v>0.6</v>
      </c>
      <c r="T65" s="145">
        <f t="shared" si="6"/>
        <v>1.5217348947311704</v>
      </c>
      <c r="U65" s="114">
        <f t="shared" si="9"/>
        <v>-2.125894518081191</v>
      </c>
      <c r="V65" s="114">
        <v>-17.8</v>
      </c>
      <c r="W65" s="120">
        <f t="shared" si="5"/>
        <v>659.36703225910912</v>
      </c>
      <c r="X65" s="147">
        <f t="shared" si="7"/>
        <v>0.28443642892171411</v>
      </c>
      <c r="Y65" s="147">
        <f t="shared" si="8"/>
        <v>0.35157240715999555</v>
      </c>
    </row>
    <row r="66" spans="1:25" s="17" customFormat="1" x14ac:dyDescent="0.25">
      <c r="B66" s="23"/>
      <c r="C66" s="36">
        <v>39413.229166666664</v>
      </c>
      <c r="D66" s="123">
        <v>0.04</v>
      </c>
      <c r="E66" s="126">
        <v>187.6</v>
      </c>
      <c r="F66" s="114">
        <v>354</v>
      </c>
      <c r="G66" s="18">
        <v>14.8</v>
      </c>
      <c r="H66" s="18">
        <v>-1.2</v>
      </c>
      <c r="I66" s="18">
        <f t="shared" si="0"/>
        <v>4.6535517646492153</v>
      </c>
      <c r="J66" s="120" t="s">
        <v>435</v>
      </c>
      <c r="K66" s="120"/>
      <c r="L66" s="120"/>
      <c r="M66" s="18">
        <v>41.5</v>
      </c>
      <c r="N66" s="141">
        <v>0.6</v>
      </c>
      <c r="O66" s="17">
        <v>0</v>
      </c>
      <c r="P66" s="17">
        <v>1</v>
      </c>
      <c r="Q66" s="14" t="s">
        <v>303</v>
      </c>
      <c r="R66" s="19">
        <v>40324</v>
      </c>
      <c r="S66" s="145">
        <v>0.6</v>
      </c>
      <c r="T66" s="145">
        <f t="shared" si="6"/>
        <v>1.5067412935370634</v>
      </c>
      <c r="U66" s="114">
        <f t="shared" si="9"/>
        <v>-2.5499049276039782</v>
      </c>
      <c r="V66" s="114">
        <v>6.2</v>
      </c>
      <c r="W66" s="120">
        <f t="shared" si="5"/>
        <v>656.46450444732443</v>
      </c>
      <c r="X66" s="147">
        <f t="shared" si="7"/>
        <v>0.20361368831581936</v>
      </c>
      <c r="Y66" s="147">
        <f t="shared" si="8"/>
        <v>0.49112611645683107</v>
      </c>
    </row>
    <row r="67" spans="1:25" s="17" customFormat="1" ht="25" x14ac:dyDescent="0.25">
      <c r="A67" s="42"/>
      <c r="B67" s="23"/>
      <c r="C67" s="36">
        <v>39440.296527777777</v>
      </c>
      <c r="D67" s="123">
        <v>0</v>
      </c>
      <c r="E67" s="126">
        <v>332.6</v>
      </c>
      <c r="F67" s="114">
        <v>7</v>
      </c>
      <c r="G67" s="18">
        <v>15.8</v>
      </c>
      <c r="H67" s="18">
        <v>-1.6</v>
      </c>
      <c r="I67" s="18">
        <f t="shared" si="0"/>
        <v>4.3955830514231149</v>
      </c>
      <c r="J67" s="120" t="s">
        <v>435</v>
      </c>
      <c r="K67" s="120"/>
      <c r="L67" s="120"/>
      <c r="M67" s="18">
        <v>77</v>
      </c>
      <c r="N67" s="141"/>
      <c r="O67" s="17">
        <v>0</v>
      </c>
      <c r="P67" s="17">
        <v>1</v>
      </c>
      <c r="Q67" s="23" t="s">
        <v>563</v>
      </c>
      <c r="R67" s="19">
        <v>40324</v>
      </c>
      <c r="S67" s="145">
        <v>0.6</v>
      </c>
      <c r="T67" s="145">
        <f t="shared" si="6"/>
        <v>1.0261290182461884</v>
      </c>
      <c r="U67" s="114">
        <f t="shared" si="9"/>
        <v>2.973277609406709</v>
      </c>
      <c r="V67" s="114">
        <v>1.5</v>
      </c>
      <c r="W67" s="120">
        <f t="shared" si="5"/>
        <v>14.215556716770154</v>
      </c>
      <c r="X67" s="147">
        <f t="shared" si="7"/>
        <v>0.15586769897410455</v>
      </c>
      <c r="Y67" s="147">
        <f t="shared" si="8"/>
        <v>0.64156974574067294</v>
      </c>
    </row>
    <row r="68" spans="1:25" s="17" customFormat="1" x14ac:dyDescent="0.25">
      <c r="B68" s="23"/>
      <c r="C68" s="36">
        <v>39494.240277777775</v>
      </c>
      <c r="D68" s="123">
        <v>0.08</v>
      </c>
      <c r="E68" s="126">
        <v>187</v>
      </c>
      <c r="F68" s="114">
        <v>33</v>
      </c>
      <c r="G68" s="18">
        <v>10.3</v>
      </c>
      <c r="H68" s="18">
        <v>-0.2</v>
      </c>
      <c r="I68" s="18">
        <f t="shared" si="0"/>
        <v>4.8661275558984425</v>
      </c>
      <c r="J68" s="120" t="s">
        <v>435</v>
      </c>
      <c r="K68" s="120"/>
      <c r="L68" s="120"/>
      <c r="M68" s="18">
        <v>53</v>
      </c>
      <c r="N68" s="141"/>
      <c r="O68" s="17">
        <v>0</v>
      </c>
      <c r="P68" s="17">
        <v>1</v>
      </c>
      <c r="Q68" s="14"/>
      <c r="R68" s="19">
        <v>40324</v>
      </c>
      <c r="S68" s="145">
        <v>0.6</v>
      </c>
      <c r="T68" s="145">
        <f t="shared" si="6"/>
        <v>1.2510990073757973</v>
      </c>
      <c r="U68" s="114">
        <f t="shared" si="9"/>
        <v>13.403657961356767</v>
      </c>
      <c r="V68" s="114">
        <v>-1.5</v>
      </c>
      <c r="W68" s="120">
        <f t="shared" si="5"/>
        <v>66.71599864760411</v>
      </c>
      <c r="X68" s="147">
        <f t="shared" si="7"/>
        <v>0.29151821531086536</v>
      </c>
      <c r="Y68" s="147">
        <f t="shared" si="8"/>
        <v>0.3430317378053489</v>
      </c>
    </row>
    <row r="69" spans="1:25" s="42" customFormat="1" ht="87.5" x14ac:dyDescent="0.25">
      <c r="A69" s="17"/>
      <c r="B69" s="23"/>
      <c r="C69" s="36">
        <v>39498.104166666664</v>
      </c>
      <c r="D69" s="123">
        <v>0.08</v>
      </c>
      <c r="E69" s="126">
        <v>102.2</v>
      </c>
      <c r="F69" s="114">
        <v>34</v>
      </c>
      <c r="G69" s="18">
        <v>10</v>
      </c>
      <c r="H69" s="18">
        <v>-0.1</v>
      </c>
      <c r="I69" s="18">
        <f t="shared" si="0"/>
        <v>4.9019168256509795</v>
      </c>
      <c r="J69" s="120" t="s">
        <v>435</v>
      </c>
      <c r="K69" s="120"/>
      <c r="L69" s="120"/>
      <c r="M69" s="18">
        <v>76</v>
      </c>
      <c r="N69" s="140">
        <v>0.6</v>
      </c>
      <c r="O69" s="17">
        <v>0</v>
      </c>
      <c r="P69" s="17">
        <v>2</v>
      </c>
      <c r="Q69" s="14" t="s">
        <v>292</v>
      </c>
      <c r="R69" s="19">
        <v>40324</v>
      </c>
      <c r="S69" s="145">
        <v>0.6</v>
      </c>
      <c r="T69" s="145">
        <f t="shared" si="6"/>
        <v>1.0304210600904122</v>
      </c>
      <c r="U69" s="114">
        <f t="shared" si="9"/>
        <v>13.768791010214796</v>
      </c>
      <c r="V69" s="114">
        <v>-1.1000000000000001</v>
      </c>
      <c r="W69" s="120">
        <f t="shared" si="5"/>
        <v>70.476506106546424</v>
      </c>
      <c r="X69" s="147">
        <f t="shared" si="7"/>
        <v>0.20608421201808244</v>
      </c>
      <c r="Y69" s="147">
        <f t="shared" si="8"/>
        <v>0.48523852953483748</v>
      </c>
    </row>
    <row r="70" spans="1:25" s="42" customFormat="1" ht="87.5" x14ac:dyDescent="0.25">
      <c r="A70" s="17"/>
      <c r="B70" s="23"/>
      <c r="C70" s="36">
        <v>39498.218055555553</v>
      </c>
      <c r="D70" s="123">
        <v>0.08</v>
      </c>
      <c r="E70" s="126">
        <v>142.1</v>
      </c>
      <c r="F70" s="114">
        <v>34</v>
      </c>
      <c r="G70" s="18">
        <v>9.9</v>
      </c>
      <c r="H70" s="18">
        <v>-0.1</v>
      </c>
      <c r="I70" s="18">
        <f>-LOG((1/(G70^2))*(2.511^(-H70)))/LOG(2.511)</f>
        <v>4.8800844320677719</v>
      </c>
      <c r="J70" s="120" t="s">
        <v>435</v>
      </c>
      <c r="K70" s="120"/>
      <c r="L70" s="120"/>
      <c r="M70" s="18">
        <v>76</v>
      </c>
      <c r="N70" s="140">
        <v>0.6</v>
      </c>
      <c r="O70" s="17">
        <v>0</v>
      </c>
      <c r="P70" s="17">
        <v>2</v>
      </c>
      <c r="Q70" s="14" t="s">
        <v>292</v>
      </c>
      <c r="R70" s="19">
        <v>40324</v>
      </c>
      <c r="S70" s="145">
        <v>0.6</v>
      </c>
      <c r="T70" s="145">
        <f t="shared" si="6"/>
        <v>1.0304210600904122</v>
      </c>
      <c r="U70" s="114">
        <f t="shared" si="9"/>
        <v>13.768791010214796</v>
      </c>
      <c r="V70" s="114">
        <v>-1.1000000000000001</v>
      </c>
      <c r="W70" s="120">
        <f t="shared" si="5"/>
        <v>70.587347807349332</v>
      </c>
      <c r="X70" s="147">
        <f t="shared" si="7"/>
        <v>0.20816587072533579</v>
      </c>
      <c r="Y70" s="147">
        <f t="shared" si="8"/>
        <v>0.48038614423948911</v>
      </c>
    </row>
    <row r="71" spans="1:25" s="42" customFormat="1" ht="87.5" x14ac:dyDescent="0.25">
      <c r="A71" s="17"/>
      <c r="B71" s="51"/>
      <c r="C71" s="36">
        <v>39553.137499999997</v>
      </c>
      <c r="D71" s="124">
        <v>0.1</v>
      </c>
      <c r="E71" s="127">
        <v>313.39999999999998</v>
      </c>
      <c r="F71" s="117">
        <v>59</v>
      </c>
      <c r="G71" s="45">
        <v>6.3</v>
      </c>
      <c r="H71" s="50">
        <v>1</v>
      </c>
      <c r="I71" s="18">
        <f t="shared" si="0"/>
        <v>4.9982349437369686</v>
      </c>
      <c r="J71" s="120" t="s">
        <v>435</v>
      </c>
      <c r="K71" s="120"/>
      <c r="L71" s="120"/>
      <c r="M71" s="45">
        <v>54.5</v>
      </c>
      <c r="N71" s="142">
        <v>0.6</v>
      </c>
      <c r="O71" s="45">
        <v>0</v>
      </c>
      <c r="P71" s="45">
        <v>1</v>
      </c>
      <c r="Q71" s="48" t="s">
        <v>167</v>
      </c>
      <c r="R71" s="49">
        <v>39553</v>
      </c>
      <c r="S71" s="145">
        <v>0.6</v>
      </c>
      <c r="T71" s="145">
        <f t="shared" si="6"/>
        <v>1.2273921578690608</v>
      </c>
      <c r="U71" s="114">
        <f t="shared" si="9"/>
        <v>21.397041903666068</v>
      </c>
      <c r="V71" s="117">
        <v>8.8000000000000007</v>
      </c>
      <c r="W71" s="120">
        <f t="shared" ref="W71:W78" si="12">668.5921*MOD((C71-Z$1),686.9726)/686.9726</f>
        <v>124.03737869932962</v>
      </c>
      <c r="X71" s="147">
        <f t="shared" si="7"/>
        <v>0.38964830408541612</v>
      </c>
      <c r="Y71" s="147">
        <f t="shared" si="8"/>
        <v>0.25664169188345465</v>
      </c>
    </row>
    <row r="72" spans="1:25" s="42" customFormat="1" ht="100" x14ac:dyDescent="0.25">
      <c r="A72" s="42" t="s">
        <v>488</v>
      </c>
      <c r="B72" s="23"/>
      <c r="C72" s="36">
        <v>40190.201388888891</v>
      </c>
      <c r="D72" s="123">
        <v>0.02</v>
      </c>
      <c r="E72" s="126">
        <v>266.89999999999998</v>
      </c>
      <c r="F72" s="114">
        <v>37</v>
      </c>
      <c r="G72" s="18">
        <v>13.6</v>
      </c>
      <c r="H72" s="18">
        <v>-1</v>
      </c>
      <c r="I72" s="18">
        <f t="shared" si="0"/>
        <v>4.6698673383070339</v>
      </c>
      <c r="J72" s="120" t="s">
        <v>435</v>
      </c>
      <c r="K72" s="120"/>
      <c r="L72" s="120"/>
      <c r="M72" s="18">
        <v>34</v>
      </c>
      <c r="N72" s="140">
        <v>0.6</v>
      </c>
      <c r="O72" s="17">
        <v>0</v>
      </c>
      <c r="P72" s="17">
        <v>1</v>
      </c>
      <c r="Q72" s="14" t="s">
        <v>479</v>
      </c>
      <c r="R72" s="19">
        <v>40190</v>
      </c>
      <c r="S72" s="145">
        <v>0.6</v>
      </c>
      <c r="T72" s="145">
        <f t="shared" ref="T72:T78" si="13">1/SIN(RADIANS(M72+244/(165+47*M72^1.1)))</f>
        <v>1.7836764629110244</v>
      </c>
      <c r="U72" s="114">
        <f t="shared" si="9"/>
        <v>14.841461952952889</v>
      </c>
      <c r="V72" s="114">
        <v>17.100000000000001</v>
      </c>
      <c r="W72" s="120">
        <f t="shared" si="12"/>
        <v>75.464014972642232</v>
      </c>
      <c r="X72" s="147">
        <f t="shared" ref="X72:X78" si="14">(S72/(G72/2))*T72/(IF(ISBLANK(N72),0.5,N72))</f>
        <v>0.26230536219279776</v>
      </c>
      <c r="Y72" s="147">
        <f t="shared" ref="Y72:Y78" si="15">0.1/X72</f>
        <v>0.38123505811710678</v>
      </c>
    </row>
    <row r="73" spans="1:25" s="42" customFormat="1" ht="87.5" x14ac:dyDescent="0.25">
      <c r="B73" s="23"/>
      <c r="C73" s="36">
        <v>40209.121527777781</v>
      </c>
      <c r="D73" s="123">
        <v>0</v>
      </c>
      <c r="E73" s="126">
        <v>72.7</v>
      </c>
      <c r="F73" s="114">
        <v>45</v>
      </c>
      <c r="G73" s="18">
        <v>14.1</v>
      </c>
      <c r="H73" s="18">
        <v>-1.3</v>
      </c>
      <c r="I73" s="18">
        <f t="shared" si="0"/>
        <v>4.4482984159506325</v>
      </c>
      <c r="J73" s="120" t="s">
        <v>435</v>
      </c>
      <c r="K73" s="120"/>
      <c r="L73" s="120"/>
      <c r="M73" s="18">
        <v>33</v>
      </c>
      <c r="N73" s="140">
        <v>0.6</v>
      </c>
      <c r="O73" s="17">
        <v>0</v>
      </c>
      <c r="P73" s="17">
        <v>1</v>
      </c>
      <c r="Q73" s="14" t="s">
        <v>489</v>
      </c>
      <c r="R73" s="19">
        <v>40190</v>
      </c>
      <c r="S73" s="145">
        <v>0.6</v>
      </c>
      <c r="T73" s="145">
        <f t="shared" si="13"/>
        <v>1.8310048580706904</v>
      </c>
      <c r="U73" s="114">
        <f t="shared" si="9"/>
        <v>17.515257163739175</v>
      </c>
      <c r="V73" s="114">
        <v>14.7</v>
      </c>
      <c r="W73" s="120">
        <f t="shared" si="12"/>
        <v>93.877930450515677</v>
      </c>
      <c r="X73" s="147">
        <f t="shared" si="14"/>
        <v>0.2597170011447788</v>
      </c>
      <c r="Y73" s="147">
        <f t="shared" si="15"/>
        <v>0.38503447814051717</v>
      </c>
    </row>
    <row r="74" spans="1:25" s="42" customFormat="1" ht="87.5" x14ac:dyDescent="0.25">
      <c r="B74" s="23"/>
      <c r="C74" s="36">
        <v>40209.189583333333</v>
      </c>
      <c r="D74" s="123">
        <v>0</v>
      </c>
      <c r="E74" s="126">
        <v>96.6</v>
      </c>
      <c r="F74" s="114">
        <v>45</v>
      </c>
      <c r="G74" s="18">
        <v>14.1</v>
      </c>
      <c r="H74" s="18">
        <v>-1.3</v>
      </c>
      <c r="I74" s="18">
        <f>-LOG((1/(G74^2))*(2.511^(-H74)))/LOG(2.511)</f>
        <v>4.4482984159506325</v>
      </c>
      <c r="J74" s="120" t="s">
        <v>435</v>
      </c>
      <c r="K74" s="120"/>
      <c r="L74" s="120"/>
      <c r="M74" s="18">
        <v>52</v>
      </c>
      <c r="N74" s="140">
        <v>0.6</v>
      </c>
      <c r="O74" s="17">
        <v>0</v>
      </c>
      <c r="P74" s="17">
        <v>1</v>
      </c>
      <c r="Q74" s="14" t="s">
        <v>489</v>
      </c>
      <c r="R74" s="19">
        <v>40190</v>
      </c>
      <c r="S74" s="145">
        <v>0.6</v>
      </c>
      <c r="T74" s="145">
        <f t="shared" si="13"/>
        <v>1.2679069016723665</v>
      </c>
      <c r="U74" s="114">
        <f t="shared" si="9"/>
        <v>17.515257163739175</v>
      </c>
      <c r="V74" s="114">
        <v>14.7</v>
      </c>
      <c r="W74" s="120">
        <f t="shared" si="12"/>
        <v>93.944165125382</v>
      </c>
      <c r="X74" s="147">
        <f t="shared" si="14"/>
        <v>0.17984495059182506</v>
      </c>
      <c r="Y74" s="147">
        <f t="shared" si="15"/>
        <v>0.55603451568100659</v>
      </c>
    </row>
    <row r="75" spans="1:25" s="42" customFormat="1" ht="100" x14ac:dyDescent="0.25">
      <c r="B75" s="23"/>
      <c r="C75" s="36">
        <v>40219.193749999999</v>
      </c>
      <c r="D75" s="123">
        <v>0.01</v>
      </c>
      <c r="E75" s="126">
        <v>10.7</v>
      </c>
      <c r="F75" s="114">
        <v>50</v>
      </c>
      <c r="G75" s="18">
        <v>13.7</v>
      </c>
      <c r="H75" s="18">
        <v>-1.1000000000000001</v>
      </c>
      <c r="I75" s="18">
        <f t="shared" si="0"/>
        <v>4.5857817309231539</v>
      </c>
      <c r="J75" s="120" t="s">
        <v>435</v>
      </c>
      <c r="K75" s="120"/>
      <c r="L75" s="120"/>
      <c r="M75" s="18">
        <v>63</v>
      </c>
      <c r="N75" s="140">
        <v>0.6</v>
      </c>
      <c r="O75" s="17">
        <v>0</v>
      </c>
      <c r="P75" s="17">
        <v>1</v>
      </c>
      <c r="Q75" s="14" t="s">
        <v>479</v>
      </c>
      <c r="R75" s="19">
        <v>40190</v>
      </c>
      <c r="S75" s="145">
        <v>0.6</v>
      </c>
      <c r="T75" s="145">
        <f t="shared" si="13"/>
        <v>1.1218027795687744</v>
      </c>
      <c r="U75" s="114">
        <f t="shared" si="9"/>
        <v>19.028890741463769</v>
      </c>
      <c r="V75" s="114">
        <v>13.5</v>
      </c>
      <c r="W75" s="120">
        <f t="shared" si="12"/>
        <v>103.68066233126184</v>
      </c>
      <c r="X75" s="147">
        <f t="shared" si="14"/>
        <v>0.16376682913412766</v>
      </c>
      <c r="Y75" s="147">
        <f t="shared" si="15"/>
        <v>0.61062426700646688</v>
      </c>
    </row>
    <row r="76" spans="1:25" s="42" customFormat="1" ht="75" x14ac:dyDescent="0.25">
      <c r="B76" s="23"/>
      <c r="C76" s="36">
        <v>40239.180555555555</v>
      </c>
      <c r="D76" s="123">
        <v>0.04</v>
      </c>
      <c r="E76" s="126">
        <v>188.4</v>
      </c>
      <c r="F76" s="114">
        <v>59</v>
      </c>
      <c r="G76" s="18">
        <v>12</v>
      </c>
      <c r="H76" s="18">
        <v>-0.6</v>
      </c>
      <c r="I76" s="18">
        <f t="shared" si="0"/>
        <v>4.7979748325326037</v>
      </c>
      <c r="J76" s="120" t="s">
        <v>435</v>
      </c>
      <c r="K76" s="120"/>
      <c r="L76" s="120"/>
      <c r="M76" s="18">
        <v>73</v>
      </c>
      <c r="N76" s="140">
        <v>0.6</v>
      </c>
      <c r="O76" s="17">
        <v>0</v>
      </c>
      <c r="P76" s="17">
        <v>1</v>
      </c>
      <c r="Q76" s="14" t="s">
        <v>491</v>
      </c>
      <c r="R76" s="19">
        <v>40239</v>
      </c>
      <c r="S76" s="145">
        <v>0.6</v>
      </c>
      <c r="T76" s="145">
        <f t="shared" si="13"/>
        <v>1.0454416037178536</v>
      </c>
      <c r="U76" s="114">
        <f t="shared" si="9"/>
        <v>21.397041903666068</v>
      </c>
      <c r="V76" s="114">
        <v>12.4</v>
      </c>
      <c r="W76" s="120">
        <f t="shared" si="12"/>
        <v>123.13270495811624</v>
      </c>
      <c r="X76" s="147">
        <f t="shared" si="14"/>
        <v>0.17424026728630893</v>
      </c>
      <c r="Y76" s="147">
        <f t="shared" si="15"/>
        <v>0.57392014806589764</v>
      </c>
    </row>
    <row r="77" spans="1:25" s="42" customFormat="1" ht="50" x14ac:dyDescent="0.25">
      <c r="B77" s="23"/>
      <c r="C77" s="36">
        <v>40253.199305555558</v>
      </c>
      <c r="D77" s="123">
        <v>0.06</v>
      </c>
      <c r="E77" s="126">
        <v>67.7</v>
      </c>
      <c r="F77" s="114">
        <v>65</v>
      </c>
      <c r="G77" s="18">
        <v>10.6</v>
      </c>
      <c r="H77" s="18">
        <v>-0.2</v>
      </c>
      <c r="I77" s="18">
        <f t="shared" si="0"/>
        <v>4.92849465890649</v>
      </c>
      <c r="J77" s="120" t="s">
        <v>435</v>
      </c>
      <c r="K77" s="120"/>
      <c r="L77" s="120"/>
      <c r="M77" s="18">
        <v>68</v>
      </c>
      <c r="N77" s="140">
        <v>0.8</v>
      </c>
      <c r="O77" s="17">
        <v>0</v>
      </c>
      <c r="P77" s="17">
        <v>1</v>
      </c>
      <c r="Q77" s="14" t="s">
        <v>564</v>
      </c>
      <c r="R77" s="19">
        <v>40325</v>
      </c>
      <c r="S77" s="145">
        <v>0.6</v>
      </c>
      <c r="T77" s="145">
        <f t="shared" si="13"/>
        <v>1.0781669603789994</v>
      </c>
      <c r="U77" s="114">
        <f t="shared" ref="U77:U83" si="16">DEGREES(ASIN(SIN(RADIANS(F77))*SIN(RADIANS(25.19))))</f>
        <v>22.689933700477585</v>
      </c>
      <c r="V77" s="114">
        <v>12.7</v>
      </c>
      <c r="W77" s="120">
        <f t="shared" si="12"/>
        <v>136.77637211729689</v>
      </c>
      <c r="X77" s="147">
        <f t="shared" si="14"/>
        <v>0.15257079628004708</v>
      </c>
      <c r="Y77" s="147">
        <f t="shared" si="15"/>
        <v>0.65543342787860781</v>
      </c>
    </row>
    <row r="78" spans="1:25" s="17" customFormat="1" ht="50" x14ac:dyDescent="0.25">
      <c r="B78" s="23"/>
      <c r="C78" s="36">
        <v>40293.138888888891</v>
      </c>
      <c r="D78" s="123">
        <v>0.1</v>
      </c>
      <c r="E78" s="126">
        <v>32.4</v>
      </c>
      <c r="F78" s="114">
        <v>82</v>
      </c>
      <c r="G78" s="18">
        <v>7.6</v>
      </c>
      <c r="H78" s="18">
        <v>0.6</v>
      </c>
      <c r="I78" s="18">
        <f t="shared" si="0"/>
        <v>5.0057563274913708</v>
      </c>
      <c r="J78" s="120" t="s">
        <v>435</v>
      </c>
      <c r="K78" s="120"/>
      <c r="L78" s="120"/>
      <c r="M78" s="18">
        <v>61</v>
      </c>
      <c r="N78" s="140">
        <v>0.6</v>
      </c>
      <c r="O78" s="17">
        <v>0</v>
      </c>
      <c r="P78" s="17">
        <v>1</v>
      </c>
      <c r="Q78" s="14" t="s">
        <v>565</v>
      </c>
      <c r="R78" s="19">
        <v>40325</v>
      </c>
      <c r="S78" s="145">
        <v>0.6</v>
      </c>
      <c r="T78" s="145">
        <f t="shared" si="13"/>
        <v>1.1427537542759743</v>
      </c>
      <c r="U78" s="114">
        <f t="shared" si="16"/>
        <v>24.928013692905079</v>
      </c>
      <c r="V78" s="114">
        <v>17.2</v>
      </c>
      <c r="W78" s="120">
        <f t="shared" si="12"/>
        <v>175.64734003356895</v>
      </c>
      <c r="X78" s="147">
        <f t="shared" si="14"/>
        <v>0.30072467217788795</v>
      </c>
      <c r="Y78" s="147">
        <f t="shared" si="15"/>
        <v>0.33253008233673259</v>
      </c>
    </row>
    <row r="79" spans="1:25" s="5" customFormat="1" ht="62.5" x14ac:dyDescent="0.25">
      <c r="B79" s="22"/>
      <c r="C79" s="36">
        <v>40376.125</v>
      </c>
      <c r="D79" s="123">
        <v>0.08</v>
      </c>
      <c r="E79" s="126">
        <v>305.60000000000002</v>
      </c>
      <c r="F79" s="114">
        <v>119</v>
      </c>
      <c r="G79" s="13">
        <v>4.9000000000000004</v>
      </c>
      <c r="H79" s="18">
        <v>1.4</v>
      </c>
      <c r="I79" s="18">
        <f t="shared" ref="I79:I86" si="17">-LOG((1/(G79^2))*(2.511^(-H79)))/LOG(2.511)</f>
        <v>4.8523033856929727</v>
      </c>
      <c r="J79" s="120" t="s">
        <v>435</v>
      </c>
      <c r="K79" s="120"/>
      <c r="L79" s="120"/>
      <c r="M79" s="18">
        <v>24</v>
      </c>
      <c r="N79" s="140">
        <v>1</v>
      </c>
      <c r="O79" s="17">
        <v>1</v>
      </c>
      <c r="P79" s="17">
        <v>0</v>
      </c>
      <c r="Q79" s="14" t="s">
        <v>593</v>
      </c>
      <c r="R79" s="6">
        <v>40415</v>
      </c>
      <c r="S79" s="145">
        <v>0.6</v>
      </c>
      <c r="T79" s="145">
        <f t="shared" ref="T79:T85" si="18">1/SIN(RADIANS(M79+244/(165+47*M79^1.1)))</f>
        <v>2.4449646720977571</v>
      </c>
      <c r="U79" s="114">
        <f t="shared" si="16"/>
        <v>21.854869442454383</v>
      </c>
      <c r="V79" s="114">
        <v>26.1</v>
      </c>
      <c r="W79" s="120">
        <f t="shared" ref="W79:W85" si="19">668.5921*MOD((C79-Z$1),686.9726)/686.9726</f>
        <v>256.41309153313387</v>
      </c>
      <c r="X79" s="147">
        <f t="shared" ref="X79:X85" si="20">(S79/(G79/2))*T79/(IF(ISBLANK(N79),0.5,N79))</f>
        <v>0.59876685847291999</v>
      </c>
      <c r="Y79" s="147">
        <f t="shared" ref="Y79:Y85" si="21">0.1/X79</f>
        <v>0.16700991142869448</v>
      </c>
    </row>
    <row r="80" spans="1:25" s="5" customFormat="1" ht="112.5" x14ac:dyDescent="0.25">
      <c r="B80" s="22"/>
      <c r="C80" s="36">
        <v>40977.099305555559</v>
      </c>
      <c r="D80" s="240">
        <v>0.998</v>
      </c>
      <c r="E80" s="126">
        <v>251.3</v>
      </c>
      <c r="F80" s="126">
        <v>80.569999999999993</v>
      </c>
      <c r="G80" s="13">
        <v>13.87</v>
      </c>
      <c r="H80" s="13">
        <v>-1.2</v>
      </c>
      <c r="I80" s="13">
        <f t="shared" si="17"/>
        <v>4.5125714668223891</v>
      </c>
      <c r="J80" s="120" t="s">
        <v>435</v>
      </c>
      <c r="K80" s="121"/>
      <c r="L80" s="121"/>
      <c r="M80" s="13">
        <v>35.97</v>
      </c>
      <c r="N80" s="143">
        <v>0.4</v>
      </c>
      <c r="O80" s="5">
        <v>0</v>
      </c>
      <c r="P80" s="5">
        <v>1</v>
      </c>
      <c r="Q80" s="23" t="s">
        <v>753</v>
      </c>
      <c r="R80" s="6">
        <v>41012</v>
      </c>
      <c r="S80" s="145">
        <v>0.6</v>
      </c>
      <c r="T80" s="145">
        <f t="shared" si="18"/>
        <v>1.6986736301543828</v>
      </c>
      <c r="U80" s="114">
        <f t="shared" si="16"/>
        <v>24.826363435924844</v>
      </c>
      <c r="V80" s="114">
        <v>22.3</v>
      </c>
      <c r="W80" s="26">
        <f t="shared" si="19"/>
        <v>172.71575006852947</v>
      </c>
      <c r="X80" s="147">
        <f t="shared" si="20"/>
        <v>0.36741318604636974</v>
      </c>
      <c r="Y80" s="147">
        <f t="shared" si="21"/>
        <v>0.27217313857477998</v>
      </c>
    </row>
    <row r="81" spans="2:25" s="5" customFormat="1" x14ac:dyDescent="0.25">
      <c r="B81" s="22"/>
      <c r="C81" s="36">
        <v>40978.227083333331</v>
      </c>
      <c r="D81" s="240">
        <v>0.997</v>
      </c>
      <c r="E81" s="126">
        <v>287.5</v>
      </c>
      <c r="F81" s="114">
        <v>81.069999999999993</v>
      </c>
      <c r="G81" s="13">
        <v>13.85</v>
      </c>
      <c r="H81" s="13">
        <v>-1.2</v>
      </c>
      <c r="I81" s="13">
        <f t="shared" si="17"/>
        <v>4.5094368272072956</v>
      </c>
      <c r="J81" s="120" t="s">
        <v>435</v>
      </c>
      <c r="K81" s="121"/>
      <c r="L81" s="121"/>
      <c r="M81" s="13">
        <v>60.93</v>
      </c>
      <c r="N81" s="143">
        <v>0.6</v>
      </c>
      <c r="O81" s="5">
        <v>0</v>
      </c>
      <c r="P81" s="5">
        <v>1</v>
      </c>
      <c r="Q81" s="23" t="s">
        <v>752</v>
      </c>
      <c r="R81" s="6">
        <v>41012</v>
      </c>
      <c r="S81" s="145">
        <v>0.6</v>
      </c>
      <c r="T81" s="145">
        <f t="shared" si="18"/>
        <v>1.1435265590145018</v>
      </c>
      <c r="U81" s="114">
        <f t="shared" si="16"/>
        <v>24.863777165588015</v>
      </c>
      <c r="V81" s="114">
        <v>22.32</v>
      </c>
      <c r="W81" s="26">
        <f t="shared" si="19"/>
        <v>173.81335325208309</v>
      </c>
      <c r="X81" s="147">
        <f t="shared" si="20"/>
        <v>0.16513018902736487</v>
      </c>
      <c r="Y81" s="147">
        <f t="shared" si="21"/>
        <v>0.60558278646085917</v>
      </c>
    </row>
    <row r="82" spans="2:25" s="5" customFormat="1" x14ac:dyDescent="0.25">
      <c r="B82" s="22"/>
      <c r="C82" s="36">
        <v>40978.297222222223</v>
      </c>
      <c r="D82" s="240">
        <v>0.997</v>
      </c>
      <c r="E82" s="126">
        <v>312.14</v>
      </c>
      <c r="F82" s="114">
        <v>81.099999999999994</v>
      </c>
      <c r="G82" s="13">
        <v>13.84</v>
      </c>
      <c r="H82" s="13">
        <v>-1.2</v>
      </c>
      <c r="I82" s="13">
        <f t="shared" si="17"/>
        <v>4.5078678095324971</v>
      </c>
      <c r="J82" s="120" t="s">
        <v>435</v>
      </c>
      <c r="K82" s="121"/>
      <c r="L82" s="121"/>
      <c r="M82" s="13">
        <v>55.72</v>
      </c>
      <c r="N82" s="143">
        <v>0.8</v>
      </c>
      <c r="O82" s="5">
        <v>0</v>
      </c>
      <c r="P82" s="5">
        <v>1</v>
      </c>
      <c r="Q82" s="23" t="s">
        <v>752</v>
      </c>
      <c r="R82" s="6">
        <v>41012</v>
      </c>
      <c r="S82" s="145">
        <v>0.6</v>
      </c>
      <c r="T82" s="145">
        <f t="shared" si="18"/>
        <v>1.2093617807874359</v>
      </c>
      <c r="U82" s="114">
        <f t="shared" si="16"/>
        <v>24.865958075385326</v>
      </c>
      <c r="V82" s="114">
        <v>22.31</v>
      </c>
      <c r="W82" s="26">
        <f t="shared" si="19"/>
        <v>173.88161551904389</v>
      </c>
      <c r="X82" s="147">
        <f t="shared" si="20"/>
        <v>0.13107244733967874</v>
      </c>
      <c r="Y82" s="147">
        <f t="shared" si="21"/>
        <v>0.76293684927425354</v>
      </c>
    </row>
    <row r="83" spans="2:25" s="5" customFormat="1" x14ac:dyDescent="0.25">
      <c r="B83" s="22"/>
      <c r="C83" s="36">
        <v>40997.166666666664</v>
      </c>
      <c r="D83" s="123">
        <v>0.97099999999999997</v>
      </c>
      <c r="E83" s="126">
        <v>92.31</v>
      </c>
      <c r="F83" s="114">
        <v>89.38</v>
      </c>
      <c r="G83" s="13">
        <v>12.8</v>
      </c>
      <c r="H83" s="13">
        <v>-0.8</v>
      </c>
      <c r="I83" s="13">
        <f t="shared" si="17"/>
        <v>4.738172176710183</v>
      </c>
      <c r="J83" s="120" t="s">
        <v>435</v>
      </c>
      <c r="K83" s="121"/>
      <c r="L83" s="121"/>
      <c r="M83" s="13">
        <v>61.61</v>
      </c>
      <c r="N83" s="143">
        <v>0.6</v>
      </c>
      <c r="O83" s="5">
        <v>0</v>
      </c>
      <c r="P83" s="5">
        <v>1</v>
      </c>
      <c r="Q83" s="22" t="s">
        <v>748</v>
      </c>
      <c r="R83" s="6">
        <v>41012</v>
      </c>
      <c r="S83" s="145">
        <v>0.6</v>
      </c>
      <c r="T83" s="145">
        <f t="shared" si="18"/>
        <v>1.1361345433065559</v>
      </c>
      <c r="U83" s="114">
        <f t="shared" si="16"/>
        <v>25.188422222051056</v>
      </c>
      <c r="V83" s="114">
        <v>22.22</v>
      </c>
      <c r="W83" s="26">
        <f t="shared" si="19"/>
        <v>192.2461929227745</v>
      </c>
      <c r="X83" s="147">
        <f t="shared" si="20"/>
        <v>0.17752102239164935</v>
      </c>
      <c r="Y83" s="147">
        <f t="shared" si="21"/>
        <v>0.56331356507951269</v>
      </c>
    </row>
    <row r="84" spans="2:25" s="243" customFormat="1" x14ac:dyDescent="0.25">
      <c r="B84" s="244"/>
      <c r="C84" s="245">
        <v>41004.166666666664</v>
      </c>
      <c r="D84" s="246">
        <v>0.97099999999999997</v>
      </c>
      <c r="E84" s="247">
        <v>92.31</v>
      </c>
      <c r="F84" s="248">
        <v>93</v>
      </c>
      <c r="G84" s="249">
        <v>12.2</v>
      </c>
      <c r="H84" s="249">
        <v>-0.8</v>
      </c>
      <c r="I84" s="249">
        <f t="shared" si="17"/>
        <v>4.6338815157633713</v>
      </c>
      <c r="J84" s="250" t="s">
        <v>435</v>
      </c>
      <c r="K84" s="250"/>
      <c r="L84" s="250"/>
      <c r="M84" s="249">
        <v>61.61</v>
      </c>
      <c r="N84" s="251">
        <v>0.6</v>
      </c>
      <c r="O84" s="243">
        <v>0</v>
      </c>
      <c r="P84" s="243">
        <v>1</v>
      </c>
      <c r="Q84" s="244" t="s">
        <v>748</v>
      </c>
      <c r="R84" s="252">
        <v>41012</v>
      </c>
      <c r="S84" s="253">
        <v>0.6</v>
      </c>
      <c r="T84" s="253">
        <f t="shared" si="18"/>
        <v>1.1361345433065559</v>
      </c>
      <c r="U84" s="248">
        <f t="shared" ref="U84" si="22">DEGREES(ASIN(SIN(RADIANS(F84))*SIN(RADIANS(25.19))))</f>
        <v>25.15307274301146</v>
      </c>
      <c r="V84" s="248">
        <v>22.22</v>
      </c>
      <c r="W84" s="254">
        <f t="shared" si="19"/>
        <v>199.05890233796802</v>
      </c>
      <c r="X84" s="255">
        <f t="shared" si="20"/>
        <v>0.18625156447648458</v>
      </c>
      <c r="Y84" s="255">
        <f t="shared" si="21"/>
        <v>0.53690824171641049</v>
      </c>
    </row>
    <row r="85" spans="2:25" s="243" customFormat="1" x14ac:dyDescent="0.25">
      <c r="B85" s="244"/>
      <c r="C85" s="245">
        <v>41039.083333333336</v>
      </c>
      <c r="D85" s="246">
        <v>0.97099999999999997</v>
      </c>
      <c r="E85" s="247">
        <v>92.31</v>
      </c>
      <c r="F85" s="248">
        <v>108</v>
      </c>
      <c r="G85" s="249">
        <v>9.1999999999999993</v>
      </c>
      <c r="H85" s="249">
        <v>-0.8</v>
      </c>
      <c r="I85" s="249">
        <f t="shared" si="17"/>
        <v>4.0207865499573341</v>
      </c>
      <c r="J85" s="250" t="s">
        <v>435</v>
      </c>
      <c r="K85" s="250"/>
      <c r="L85" s="250"/>
      <c r="M85" s="249">
        <v>61.61</v>
      </c>
      <c r="N85" s="251">
        <v>0.6</v>
      </c>
      <c r="O85" s="243">
        <v>0</v>
      </c>
      <c r="P85" s="243">
        <v>1</v>
      </c>
      <c r="Q85" s="244" t="s">
        <v>748</v>
      </c>
      <c r="R85" s="252">
        <v>41012</v>
      </c>
      <c r="S85" s="253">
        <v>0.6</v>
      </c>
      <c r="T85" s="253">
        <f t="shared" si="18"/>
        <v>1.1361345433065559</v>
      </c>
      <c r="U85" s="248">
        <f t="shared" ref="U85:U86" si="23">DEGREES(ASIN(SIN(RADIANS(F85))*SIN(RADIANS(25.19))))</f>
        <v>23.877966297165113</v>
      </c>
      <c r="V85" s="248">
        <v>22.22</v>
      </c>
      <c r="W85" s="254">
        <f t="shared" si="19"/>
        <v>233.04134573042634</v>
      </c>
      <c r="X85" s="255">
        <f t="shared" si="20"/>
        <v>0.2469857702840339</v>
      </c>
      <c r="Y85" s="255">
        <f t="shared" si="21"/>
        <v>0.40488162490089974</v>
      </c>
    </row>
    <row r="86" spans="2:25" s="17" customFormat="1" ht="75" x14ac:dyDescent="0.25">
      <c r="B86" s="23"/>
      <c r="C86" s="36">
        <v>41779.156944444447</v>
      </c>
      <c r="D86" s="123">
        <v>0.06</v>
      </c>
      <c r="E86" s="126">
        <v>122.2</v>
      </c>
      <c r="F86" s="114">
        <v>133</v>
      </c>
      <c r="G86" s="18">
        <v>12.9</v>
      </c>
      <c r="H86" s="18">
        <v>-0.8</v>
      </c>
      <c r="I86" s="18">
        <f t="shared" si="17"/>
        <v>4.7550773583406594</v>
      </c>
      <c r="J86" s="120" t="s">
        <v>435</v>
      </c>
      <c r="K86" s="120"/>
      <c r="L86" s="120"/>
      <c r="M86" s="18">
        <v>47</v>
      </c>
      <c r="N86" s="207">
        <v>0.4</v>
      </c>
      <c r="O86" s="17">
        <v>0</v>
      </c>
      <c r="P86" s="17">
        <v>1</v>
      </c>
      <c r="Q86" s="23" t="s">
        <v>804</v>
      </c>
      <c r="R86" s="19">
        <v>41780</v>
      </c>
      <c r="S86" s="256">
        <v>0.6</v>
      </c>
      <c r="T86" s="256">
        <f t="shared" ref="T86" si="24">1/SIN(RADIANS(M86+244/(165+47*M86^1.1)))</f>
        <v>1.3657386808899947</v>
      </c>
      <c r="U86" s="114">
        <f t="shared" si="23"/>
        <v>18.136371657193077</v>
      </c>
      <c r="V86" s="114">
        <v>22.22</v>
      </c>
      <c r="W86" s="26">
        <f t="shared" ref="W86" si="25">668.5921*MOD((C86-Z$1),686.9726)/686.9726</f>
        <v>284.72159692370678</v>
      </c>
      <c r="X86" s="147">
        <f t="shared" ref="X86" si="26">(S86/(G86/2))*T86/(IF(ISBLANK(N86),0.5,N86))</f>
        <v>0.31761364671860343</v>
      </c>
      <c r="Y86" s="147">
        <f t="shared" ref="Y86" si="27">0.1/X86</f>
        <v>0.31484793249012105</v>
      </c>
    </row>
    <row r="87" spans="2:25" s="17" customFormat="1" ht="37.5" x14ac:dyDescent="0.25">
      <c r="B87" s="23"/>
      <c r="C87" s="36">
        <v>41787.194444444445</v>
      </c>
      <c r="D87" s="123">
        <v>0.08</v>
      </c>
      <c r="E87" s="126">
        <v>61.9</v>
      </c>
      <c r="F87" s="114">
        <v>137</v>
      </c>
      <c r="G87" s="18">
        <v>12.1</v>
      </c>
      <c r="H87" s="18">
        <v>-0.6</v>
      </c>
      <c r="I87" s="18">
        <f t="shared" ref="I87" si="28">-LOG((1/(G87^2))*(2.511^(-H87)))/LOG(2.511)</f>
        <v>4.8160023623545776</v>
      </c>
      <c r="J87" s="120" t="s">
        <v>435</v>
      </c>
      <c r="K87" s="120"/>
      <c r="L87" s="120"/>
      <c r="M87" s="18">
        <v>42</v>
      </c>
      <c r="N87" s="207">
        <v>0.8</v>
      </c>
      <c r="O87" s="17">
        <v>0</v>
      </c>
      <c r="P87" s="17">
        <v>1</v>
      </c>
      <c r="Q87" s="23" t="s">
        <v>805</v>
      </c>
      <c r="R87" s="19">
        <v>41780</v>
      </c>
      <c r="S87" s="256">
        <v>0.6</v>
      </c>
      <c r="T87" s="256">
        <f t="shared" ref="T87" si="29">1/SIN(RADIANS(M87+244/(165+47*M87^1.1)))</f>
        <v>1.4921516313957157</v>
      </c>
      <c r="U87" s="114">
        <f t="shared" ref="U87" si="30">DEGREES(ASIN(SIN(RADIANS(F87))*SIN(RADIANS(25.19))))</f>
        <v>16.874305122260985</v>
      </c>
      <c r="V87" s="114">
        <v>22.22</v>
      </c>
      <c r="W87" s="26">
        <f t="shared" ref="W87" si="31">668.5921*MOD((C87-Z$1),686.9726)/686.9726</f>
        <v>292.54404719865084</v>
      </c>
      <c r="X87" s="147">
        <f t="shared" ref="X87" si="32">(S87/(G87/2))*T87/(IF(ISBLANK(N87),0.5,N87))</f>
        <v>0.18497747496641104</v>
      </c>
      <c r="Y87" s="147">
        <f t="shared" ref="Y87" si="33">0.1/X87</f>
        <v>0.54060636311614918</v>
      </c>
    </row>
    <row r="88" spans="2:25" s="17" customFormat="1" ht="37.5" x14ac:dyDescent="0.25">
      <c r="B88" s="23"/>
      <c r="C88" s="36">
        <v>41788.1875</v>
      </c>
      <c r="D88" s="123">
        <v>0.08</v>
      </c>
      <c r="E88" s="126">
        <v>50.2</v>
      </c>
      <c r="F88" s="114">
        <v>138</v>
      </c>
      <c r="G88" s="18">
        <v>12.1</v>
      </c>
      <c r="H88" s="18">
        <v>-0.6</v>
      </c>
      <c r="I88" s="18">
        <f t="shared" ref="I88" si="34">-LOG((1/(G88^2))*(2.511^(-H88)))/LOG(2.511)</f>
        <v>4.8160023623545776</v>
      </c>
      <c r="J88" s="120" t="s">
        <v>435</v>
      </c>
      <c r="K88" s="120"/>
      <c r="L88" s="120"/>
      <c r="M88" s="18">
        <v>43</v>
      </c>
      <c r="N88" s="207">
        <v>0.8</v>
      </c>
      <c r="O88" s="17">
        <v>0</v>
      </c>
      <c r="P88" s="17">
        <v>1</v>
      </c>
      <c r="Q88" s="23" t="s">
        <v>805</v>
      </c>
      <c r="R88" s="19">
        <v>41780</v>
      </c>
      <c r="S88" s="256">
        <v>0.6</v>
      </c>
      <c r="T88" s="256">
        <f t="shared" ref="T88" si="35">1/SIN(RADIANS(M88+244/(165+47*M88^1.1)))</f>
        <v>1.4641297922242409</v>
      </c>
      <c r="U88" s="114">
        <f t="shared" ref="U88" si="36">DEGREES(ASIN(SIN(RADIANS(F88))*SIN(RADIANS(25.19))))</f>
        <v>16.54667169202936</v>
      </c>
      <c r="V88" s="114">
        <v>22.22</v>
      </c>
      <c r="W88" s="26">
        <f t="shared" ref="W88" si="37">668.5921*MOD((C88-Z$1),686.9726)/686.9726</f>
        <v>293.51053276052772</v>
      </c>
      <c r="X88" s="147">
        <f t="shared" ref="X88" si="38">(S88/(G88/2))*T88/(IF(ISBLANK(N88),0.5,N88))</f>
        <v>0.18150369325093896</v>
      </c>
      <c r="Y88" s="147">
        <f t="shared" ref="Y88" si="39">0.1/X88</f>
        <v>0.55095297626668371</v>
      </c>
    </row>
    <row r="89" spans="2:25" s="17" customFormat="1" ht="37.5" x14ac:dyDescent="0.25">
      <c r="B89" s="23"/>
      <c r="C89" s="36">
        <v>41792.145833333336</v>
      </c>
      <c r="D89" s="123">
        <v>0.09</v>
      </c>
      <c r="E89" s="126">
        <v>358.5</v>
      </c>
      <c r="F89" s="114">
        <v>140</v>
      </c>
      <c r="G89" s="18">
        <v>11.7</v>
      </c>
      <c r="H89" s="18">
        <v>-0.5</v>
      </c>
      <c r="I89" s="18">
        <f t="shared" ref="I89:I90" si="40">-LOG((1/(G89^2))*(2.511^(-H89)))/LOG(2.511)</f>
        <v>4.8429768347906164</v>
      </c>
      <c r="J89" s="120" t="s">
        <v>435</v>
      </c>
      <c r="K89" s="120"/>
      <c r="L89" s="120"/>
      <c r="M89" s="18">
        <v>46</v>
      </c>
      <c r="N89" s="207">
        <v>0.1</v>
      </c>
      <c r="O89" s="17">
        <v>0</v>
      </c>
      <c r="P89" s="17">
        <v>1</v>
      </c>
      <c r="Q89" s="23" t="s">
        <v>806</v>
      </c>
      <c r="R89" s="19">
        <v>41780</v>
      </c>
      <c r="S89" s="256">
        <v>0.6</v>
      </c>
      <c r="T89" s="256">
        <f t="shared" ref="T89:T90" si="41">1/SIN(RADIANS(M89+244/(165+47*M89^1.1)))</f>
        <v>1.3884528521062274</v>
      </c>
      <c r="U89" s="114">
        <f t="shared" ref="U89:U90" si="42">DEGREES(ASIN(SIN(RADIANS(F89))*SIN(RADIANS(25.19))))</f>
        <v>15.877655824104936</v>
      </c>
      <c r="V89" s="114">
        <v>22.22</v>
      </c>
      <c r="W89" s="26">
        <f t="shared" ref="W89:W90" si="43">668.5921*MOD((C89-Z$1),686.9726)/686.9726</f>
        <v>297.36295772745501</v>
      </c>
      <c r="X89" s="147">
        <f t="shared" ref="X89:X90" si="44">(S89/(G89/2))*T89/(IF(ISBLANK(N89),0.5,N89))</f>
        <v>1.4240542072884381</v>
      </c>
      <c r="Y89" s="147">
        <f t="shared" ref="Y89:Y90" si="45">0.1/X89</f>
        <v>7.0222045964395852E-2</v>
      </c>
    </row>
    <row r="90" spans="2:25" s="17" customFormat="1" ht="37.5" x14ac:dyDescent="0.25">
      <c r="B90" s="23"/>
      <c r="C90" s="36">
        <v>41800.1875</v>
      </c>
      <c r="D90" s="123">
        <v>0.1</v>
      </c>
      <c r="E90" s="126">
        <v>298.39999999999998</v>
      </c>
      <c r="F90" s="114">
        <v>144</v>
      </c>
      <c r="G90" s="18">
        <v>11</v>
      </c>
      <c r="H90" s="18">
        <v>-0.3</v>
      </c>
      <c r="I90" s="18">
        <f t="shared" si="40"/>
        <v>4.9089595940027788</v>
      </c>
      <c r="J90" s="120" t="s">
        <v>435</v>
      </c>
      <c r="K90" s="120"/>
      <c r="L90" s="120"/>
      <c r="M90" s="18">
        <v>37</v>
      </c>
      <c r="N90" s="207">
        <v>0.8</v>
      </c>
      <c r="O90" s="17">
        <v>0</v>
      </c>
      <c r="P90" s="17">
        <v>1</v>
      </c>
      <c r="Q90" s="23" t="s">
        <v>805</v>
      </c>
      <c r="R90" s="19">
        <v>41780</v>
      </c>
      <c r="S90" s="256">
        <v>0.6</v>
      </c>
      <c r="T90" s="256">
        <f t="shared" si="41"/>
        <v>1.6581198489799065</v>
      </c>
      <c r="U90" s="114">
        <f t="shared" si="42"/>
        <v>14.487806490242944</v>
      </c>
      <c r="V90" s="114">
        <v>22.22</v>
      </c>
      <c r="W90" s="26">
        <f t="shared" si="43"/>
        <v>305.18946318657379</v>
      </c>
      <c r="X90" s="147">
        <f t="shared" si="44"/>
        <v>0.22610725213362359</v>
      </c>
      <c r="Y90" s="147">
        <f t="shared" si="45"/>
        <v>0.44226799032922026</v>
      </c>
    </row>
    <row r="91" spans="2:25" s="17" customFormat="1" ht="37.5" x14ac:dyDescent="0.25">
      <c r="B91" s="23"/>
      <c r="C91" s="36">
        <v>41819.159722222219</v>
      </c>
      <c r="D91" s="123">
        <v>0.12</v>
      </c>
      <c r="E91" s="126">
        <v>108.8</v>
      </c>
      <c r="F91" s="114">
        <v>153</v>
      </c>
      <c r="G91" s="18">
        <v>9.6</v>
      </c>
      <c r="H91" s="18">
        <v>0</v>
      </c>
      <c r="I91" s="18">
        <f t="shared" ref="I91" si="46">-LOG((1/(G91^2))*(2.511^(-H91)))/LOG(2.511)</f>
        <v>4.9132390078935515</v>
      </c>
      <c r="J91" s="120" t="s">
        <v>435</v>
      </c>
      <c r="K91" s="120"/>
      <c r="L91" s="120"/>
      <c r="M91" s="18">
        <v>33</v>
      </c>
      <c r="N91" s="207">
        <v>0.1</v>
      </c>
      <c r="O91" s="17">
        <v>0</v>
      </c>
      <c r="P91" s="17">
        <v>1</v>
      </c>
      <c r="Q91" s="23" t="s">
        <v>806</v>
      </c>
      <c r="R91" s="19">
        <v>41780</v>
      </c>
      <c r="S91" s="256">
        <v>0.6</v>
      </c>
      <c r="T91" s="256">
        <f t="shared" ref="T91" si="47">1/SIN(RADIANS(M91+244/(165+47*M91^1.1)))</f>
        <v>1.8310048580706904</v>
      </c>
      <c r="U91" s="114">
        <f t="shared" ref="U91" si="48">DEGREES(ASIN(SIN(RADIANS(F91))*SIN(RADIANS(25.19))))</f>
        <v>11.141230069463393</v>
      </c>
      <c r="V91" s="114">
        <v>22.22</v>
      </c>
      <c r="W91" s="26">
        <f t="shared" ref="W91" si="49">668.5921*MOD((C91-Z$1),686.9726)/686.9726</f>
        <v>323.65406846663888</v>
      </c>
      <c r="X91" s="147">
        <f t="shared" ref="X91" si="50">(S91/(G91/2))*T91/(IF(ISBLANK(N91),0.5,N91))</f>
        <v>2.2887560725883627</v>
      </c>
      <c r="Y91" s="147">
        <f t="shared" ref="Y91" si="51">0.1/X91</f>
        <v>4.369185567551969E-2</v>
      </c>
    </row>
    <row r="92" spans="2:25" s="17" customFormat="1" ht="50" x14ac:dyDescent="0.25">
      <c r="B92" s="23"/>
      <c r="C92" s="36">
        <v>41826.1875</v>
      </c>
      <c r="D92" s="123">
        <v>0.13</v>
      </c>
      <c r="E92" s="126">
        <v>42</v>
      </c>
      <c r="F92" s="114">
        <v>158</v>
      </c>
      <c r="G92" s="18">
        <v>9.1</v>
      </c>
      <c r="H92" s="18">
        <v>0.1</v>
      </c>
      <c r="I92" s="18">
        <f t="shared" ref="I92:I93" si="52">-LOG((1/(G92^2))*(2.511^(-H92)))/LOG(2.511)</f>
        <v>4.8970452767466197</v>
      </c>
      <c r="J92" s="120" t="s">
        <v>435</v>
      </c>
      <c r="K92" s="120"/>
      <c r="L92" s="120"/>
      <c r="M92" s="18">
        <v>24</v>
      </c>
      <c r="N92" s="207">
        <v>0.2</v>
      </c>
      <c r="O92" s="17">
        <v>0</v>
      </c>
      <c r="P92" s="17">
        <v>1</v>
      </c>
      <c r="Q92" s="23" t="s">
        <v>807</v>
      </c>
      <c r="R92" s="19">
        <v>41780</v>
      </c>
      <c r="S92" s="256">
        <v>0.6</v>
      </c>
      <c r="T92" s="256">
        <f t="shared" ref="T92:T93" si="53">1/SIN(RADIANS(M92+244/(165+47*M92^1.1)))</f>
        <v>2.4449646720977571</v>
      </c>
      <c r="U92" s="114">
        <f t="shared" ref="U92:U93" si="54">DEGREES(ASIN(SIN(RADIANS(F92))*SIN(RADIANS(25.19))))</f>
        <v>9.1744263398175434</v>
      </c>
      <c r="V92" s="114">
        <v>22.22</v>
      </c>
      <c r="W92" s="26">
        <f t="shared" ref="W92" si="55">668.5921*MOD((C92-Z$1),686.9726)/686.9726</f>
        <v>330.49381244300702</v>
      </c>
      <c r="X92" s="147">
        <f t="shared" ref="X92" si="56">(S92/(G92/2))*T92/(IF(ISBLANK(N92),0.5,N92))</f>
        <v>1.6120646189655541</v>
      </c>
      <c r="Y92" s="147">
        <f t="shared" ref="Y92" si="57">0.1/X92</f>
        <v>6.2032252816372223E-2</v>
      </c>
    </row>
    <row r="93" spans="2:25" s="5" customFormat="1" x14ac:dyDescent="0.25">
      <c r="B93" s="22"/>
      <c r="C93" s="36">
        <v>42482.15625</v>
      </c>
      <c r="D93" s="123">
        <v>0.04</v>
      </c>
      <c r="E93" s="126">
        <v>227.5</v>
      </c>
      <c r="F93" s="114">
        <v>141</v>
      </c>
      <c r="G93" s="13">
        <v>14.8</v>
      </c>
      <c r="H93" s="13">
        <v>-1.2</v>
      </c>
      <c r="I93" s="13">
        <f t="shared" si="52"/>
        <v>4.6535517646492153</v>
      </c>
      <c r="J93" s="121" t="s">
        <v>435</v>
      </c>
      <c r="K93" s="121"/>
      <c r="L93" s="121"/>
      <c r="M93" s="13">
        <v>29</v>
      </c>
      <c r="N93" s="143">
        <v>1</v>
      </c>
      <c r="O93" s="5">
        <v>0</v>
      </c>
      <c r="P93" s="5">
        <v>1</v>
      </c>
      <c r="Q93" s="22"/>
      <c r="R93" s="6">
        <v>42490</v>
      </c>
      <c r="S93" s="256">
        <v>0.6</v>
      </c>
      <c r="T93" s="256">
        <f t="shared" si="53"/>
        <v>2.0550559950981189</v>
      </c>
      <c r="U93" s="114">
        <f t="shared" si="54"/>
        <v>15.536500275902242</v>
      </c>
      <c r="V93" s="114">
        <v>22.22</v>
      </c>
      <c r="W93" s="26">
        <f t="shared" ref="W93" si="58">668.5921*MOD((C93-Z$1),686.9726)/686.9726</f>
        <v>300.31949518554285</v>
      </c>
      <c r="X93" s="147">
        <f t="shared" ref="X93" si="59">(S93/(G93/2))*T93/(IF(ISBLANK(N93),0.5,N93))</f>
        <v>0.16662616176471232</v>
      </c>
      <c r="Y93" s="147">
        <f t="shared" ref="Y93" si="60">0.1/X93</f>
        <v>0.60014585309362722</v>
      </c>
    </row>
    <row r="94" spans="2:25" s="5" customFormat="1" x14ac:dyDescent="0.25">
      <c r="B94" s="22"/>
      <c r="C94" s="36">
        <v>42537.186111111114</v>
      </c>
      <c r="D94" s="123">
        <v>0.04</v>
      </c>
      <c r="E94" s="126">
        <v>21.7</v>
      </c>
      <c r="F94" s="114">
        <v>170</v>
      </c>
      <c r="G94" s="13">
        <v>17.899999999999999</v>
      </c>
      <c r="H94" s="13">
        <v>-1.7</v>
      </c>
      <c r="I94" s="13">
        <f t="shared" ref="I94" si="61">-LOG((1/(G94^2))*(2.511^(-H94)))/LOG(2.511)</f>
        <v>4.5666666557261548</v>
      </c>
      <c r="J94" s="121" t="s">
        <v>435</v>
      </c>
      <c r="K94" s="121"/>
      <c r="L94" s="121"/>
      <c r="M94" s="13">
        <v>29</v>
      </c>
      <c r="N94" s="143">
        <v>0.8</v>
      </c>
      <c r="O94" s="5">
        <v>0</v>
      </c>
      <c r="P94" s="5">
        <v>1</v>
      </c>
      <c r="Q94" s="22"/>
      <c r="R94" s="6">
        <v>42538</v>
      </c>
      <c r="S94" s="256">
        <v>0.6</v>
      </c>
      <c r="T94" s="256">
        <f t="shared" ref="T94" si="62">1/SIN(RADIANS(M94+244/(165+47*M94^1.1)))</f>
        <v>2.0550559950981189</v>
      </c>
      <c r="U94" s="114">
        <f t="shared" ref="U94" si="63">DEGREES(ASIN(SIN(RADIANS(F94))*SIN(RADIANS(25.19))))</f>
        <v>4.23850265963212</v>
      </c>
      <c r="V94" s="114">
        <v>22.22</v>
      </c>
      <c r="W94" s="26">
        <f t="shared" ref="W94" si="64">668.5921*MOD((C94-Z$1),686.9726)/686.9726</f>
        <v>353.87698845818278</v>
      </c>
      <c r="X94" s="147">
        <f t="shared" ref="X94" si="65">(S94/(G94/2))*T94/(IF(ISBLANK(N94),0.5,N94))</f>
        <v>0.17221139623727252</v>
      </c>
      <c r="Y94" s="147">
        <f t="shared" ref="Y94" si="66">0.1/X94</f>
        <v>0.58068166326356363</v>
      </c>
    </row>
    <row r="95" spans="2:25" s="5" customFormat="1" x14ac:dyDescent="0.25">
      <c r="B95" s="22"/>
      <c r="C95" s="36">
        <v>42548.145833333336</v>
      </c>
      <c r="D95" s="123">
        <v>0.06</v>
      </c>
      <c r="E95" s="126">
        <v>268.39999999999998</v>
      </c>
      <c r="F95" s="114">
        <v>176</v>
      </c>
      <c r="G95" s="13">
        <v>16.8</v>
      </c>
      <c r="H95" s="13">
        <v>-1.5</v>
      </c>
      <c r="I95" s="13">
        <f t="shared" ref="I95" si="67">-LOG((1/(G95^2))*(2.511^(-H95)))/LOG(2.511)</f>
        <v>4.628895112890909</v>
      </c>
      <c r="J95" s="121" t="s">
        <v>435</v>
      </c>
      <c r="K95" s="121"/>
      <c r="L95" s="121"/>
      <c r="M95" s="13">
        <v>29</v>
      </c>
      <c r="N95" s="143">
        <v>0.8</v>
      </c>
      <c r="O95" s="5">
        <v>0</v>
      </c>
      <c r="P95" s="5">
        <v>1</v>
      </c>
      <c r="Q95" s="22"/>
      <c r="R95" s="6">
        <v>42538</v>
      </c>
      <c r="S95" s="256">
        <v>0.6</v>
      </c>
      <c r="T95" s="256">
        <f t="shared" ref="T95" si="68">1/SIN(RADIANS(M95+244/(165+47*M95^1.1)))</f>
        <v>2.0550559950981189</v>
      </c>
      <c r="U95" s="114">
        <f t="shared" ref="U95" si="69">DEGREES(ASIN(SIN(RADIANS(F95))*SIN(RADIANS(25.19))))</f>
        <v>1.7013528534209108</v>
      </c>
      <c r="V95" s="114">
        <v>22.22</v>
      </c>
      <c r="W95" s="26">
        <f t="shared" ref="W95" si="70">668.5921*MOD((C95-Z$1),686.9726)/686.9726</f>
        <v>364.5434745683595</v>
      </c>
      <c r="X95" s="147">
        <f t="shared" ref="X95" si="71">(S95/(G95/2))*T95/(IF(ISBLANK(N95),0.5,N95))</f>
        <v>0.18348714241947486</v>
      </c>
      <c r="Y95" s="147">
        <f t="shared" ref="Y95" si="72">0.1/X95</f>
        <v>0.54499731524178041</v>
      </c>
    </row>
    <row r="96" spans="2:25" s="5" customFormat="1" x14ac:dyDescent="0.25">
      <c r="B96" s="22"/>
      <c r="C96" s="36">
        <v>42548.243055555555</v>
      </c>
      <c r="D96" s="123">
        <v>0.06</v>
      </c>
      <c r="E96" s="126">
        <v>302.5</v>
      </c>
      <c r="F96" s="114">
        <v>176</v>
      </c>
      <c r="G96" s="13">
        <v>16.8</v>
      </c>
      <c r="H96" s="13">
        <v>-1.5</v>
      </c>
      <c r="I96" s="13">
        <f t="shared" ref="I96" si="73">-LOG((1/(G96^2))*(2.511^(-H96)))/LOG(2.511)</f>
        <v>4.628895112890909</v>
      </c>
      <c r="J96" s="121" t="s">
        <v>435</v>
      </c>
      <c r="K96" s="121"/>
      <c r="L96" s="121"/>
      <c r="M96" s="13">
        <v>24</v>
      </c>
      <c r="N96" s="143">
        <v>0.8</v>
      </c>
      <c r="O96" s="5">
        <v>0</v>
      </c>
      <c r="P96" s="5">
        <v>1</v>
      </c>
      <c r="Q96" s="22"/>
      <c r="R96" s="6">
        <v>42538</v>
      </c>
      <c r="S96" s="256">
        <v>0.6</v>
      </c>
      <c r="T96" s="256">
        <f t="shared" ref="T96" si="74">1/SIN(RADIANS(M96+244/(165+47*M96^1.1)))</f>
        <v>2.4449646720977571</v>
      </c>
      <c r="U96" s="114">
        <f t="shared" ref="U96" si="75">DEGREES(ASIN(SIN(RADIANS(F96))*SIN(RADIANS(25.19))))</f>
        <v>1.7013528534209108</v>
      </c>
      <c r="V96" s="114">
        <v>22.22</v>
      </c>
      <c r="W96" s="26">
        <f t="shared" ref="W96" si="76">668.5921*MOD((C96-Z$1),686.9726)/686.9726</f>
        <v>364.6380955324563</v>
      </c>
      <c r="X96" s="147">
        <f t="shared" ref="X96" si="77">(S96/(G96/2))*T96/(IF(ISBLANK(N96),0.5,N96))</f>
        <v>0.21830041715158544</v>
      </c>
      <c r="Y96" s="147">
        <f t="shared" ref="Y96" si="78">0.1/X96</f>
        <v>0.45808432849013336</v>
      </c>
    </row>
    <row r="97" spans="2:25" s="5" customFormat="1" x14ac:dyDescent="0.25">
      <c r="B97" s="22"/>
      <c r="C97" s="36">
        <v>42558.178472222222</v>
      </c>
      <c r="D97" s="123">
        <v>0.08</v>
      </c>
      <c r="E97" s="126">
        <v>188</v>
      </c>
      <c r="F97" s="114">
        <v>182</v>
      </c>
      <c r="G97" s="13">
        <v>15.6</v>
      </c>
      <c r="H97" s="13">
        <v>-1.3</v>
      </c>
      <c r="I97" s="13">
        <f t="shared" ref="I97:I98" si="79">-LOG((1/(G97^2))*(2.511^(-H97)))/LOG(2.511)</f>
        <v>4.6679100036072478</v>
      </c>
      <c r="J97" s="121" t="s">
        <v>435</v>
      </c>
      <c r="K97" s="121"/>
      <c r="L97" s="121"/>
      <c r="M97" s="13">
        <v>28</v>
      </c>
      <c r="N97" s="143">
        <v>0.6</v>
      </c>
      <c r="O97" s="5">
        <v>0</v>
      </c>
      <c r="P97" s="5">
        <v>1</v>
      </c>
      <c r="Q97" s="22"/>
      <c r="R97" s="6">
        <v>42538</v>
      </c>
      <c r="S97" s="256">
        <v>0.6</v>
      </c>
      <c r="T97" s="256">
        <f t="shared" ref="T97:T98" si="80">1/SIN(RADIANS(M97+244/(165+47*M97^1.1)))</f>
        <v>2.1215691912932564</v>
      </c>
      <c r="U97" s="114">
        <f t="shared" ref="U97:U98" si="81">DEGREES(ASIN(SIN(RADIANS(F97))*SIN(RADIANS(25.19))))</f>
        <v>-0.85110116740986996</v>
      </c>
      <c r="V97" s="114">
        <v>22.22</v>
      </c>
      <c r="W97" s="26">
        <f t="shared" ref="W97:W98" si="82">668.5921*MOD((C97-Z$1),686.9726)/686.9726</f>
        <v>374.30768219943832</v>
      </c>
      <c r="X97" s="147">
        <f t="shared" ref="X97:X98" si="83">(S97/(G97/2))*T97/(IF(ISBLANK(N97),0.5,N97))</f>
        <v>0.27199605016580214</v>
      </c>
      <c r="Y97" s="147">
        <f t="shared" ref="Y97:Y98" si="84">0.1/X97</f>
        <v>0.36765239766916635</v>
      </c>
    </row>
    <row r="98" spans="2:25" s="5" customFormat="1" x14ac:dyDescent="0.25">
      <c r="B98" s="22"/>
      <c r="C98" s="36">
        <v>42562.151388888888</v>
      </c>
      <c r="D98" s="123">
        <v>0.09</v>
      </c>
      <c r="E98" s="126">
        <v>141.9</v>
      </c>
      <c r="F98" s="114">
        <v>184</v>
      </c>
      <c r="G98" s="13">
        <v>15.2</v>
      </c>
      <c r="H98" s="13">
        <v>-1.2</v>
      </c>
      <c r="I98" s="13">
        <f t="shared" si="79"/>
        <v>4.7114833278286801</v>
      </c>
      <c r="J98" s="121" t="s">
        <v>435</v>
      </c>
      <c r="K98" s="121"/>
      <c r="L98" s="121"/>
      <c r="M98" s="13">
        <v>28</v>
      </c>
      <c r="N98" s="143">
        <v>0.6</v>
      </c>
      <c r="O98" s="5">
        <v>0</v>
      </c>
      <c r="P98" s="5">
        <v>1</v>
      </c>
      <c r="Q98" s="22"/>
      <c r="R98" s="6">
        <v>42538</v>
      </c>
      <c r="S98" s="256">
        <v>0.6</v>
      </c>
      <c r="T98" s="256">
        <f t="shared" si="80"/>
        <v>2.1215691912932564</v>
      </c>
      <c r="U98" s="114">
        <f t="shared" si="81"/>
        <v>-1.7013528534209046</v>
      </c>
      <c r="V98" s="114">
        <v>22.22</v>
      </c>
      <c r="W98" s="26">
        <f t="shared" si="82"/>
        <v>378.17430031097729</v>
      </c>
      <c r="X98" s="147">
        <f t="shared" si="83"/>
        <v>0.27915384095963902</v>
      </c>
      <c r="Y98" s="147">
        <f t="shared" si="84"/>
        <v>0.35822541311354672</v>
      </c>
    </row>
    <row r="99" spans="2:25" s="5" customFormat="1" x14ac:dyDescent="0.25">
      <c r="B99" s="22"/>
      <c r="C99" s="36">
        <v>42566.138888888891</v>
      </c>
      <c r="D99" s="123">
        <v>0.1</v>
      </c>
      <c r="E99" s="126">
        <v>100</v>
      </c>
      <c r="F99" s="114">
        <v>186</v>
      </c>
      <c r="G99" s="13">
        <v>14.7</v>
      </c>
      <c r="H99" s="13">
        <v>-1.1000000000000001</v>
      </c>
      <c r="I99" s="13">
        <f t="shared" ref="I99" si="85">-LOG((1/(G99^2))*(2.511^(-H99)))/LOG(2.511)</f>
        <v>4.7388242175509587</v>
      </c>
      <c r="J99" s="121" t="s">
        <v>435</v>
      </c>
      <c r="K99" s="121"/>
      <c r="L99" s="121"/>
      <c r="M99" s="13">
        <v>28</v>
      </c>
      <c r="N99" s="143">
        <v>0.6</v>
      </c>
      <c r="O99" s="5">
        <v>0</v>
      </c>
      <c r="P99" s="5">
        <v>1</v>
      </c>
      <c r="Q99" s="22"/>
      <c r="R99" s="6">
        <v>42538</v>
      </c>
      <c r="S99" s="256">
        <v>0.6</v>
      </c>
      <c r="T99" s="256">
        <f t="shared" ref="T99" si="86">1/SIN(RADIANS(M99+244/(165+47*M99^1.1)))</f>
        <v>2.1215691912932564</v>
      </c>
      <c r="U99" s="114">
        <f t="shared" ref="U99" si="87">DEGREES(ASIN(SIN(RADIANS(F99))*SIN(RADIANS(25.19))))</f>
        <v>-2.5499049276039805</v>
      </c>
      <c r="V99" s="114">
        <v>22.22</v>
      </c>
      <c r="W99" s="26">
        <f t="shared" ref="W99" si="88">668.5921*MOD((C99-Z$1),686.9726)/686.9726</f>
        <v>382.05511156713499</v>
      </c>
      <c r="X99" s="147">
        <f t="shared" ref="X99" si="89">(S99/(G99/2))*T99/(IF(ISBLANK(N99),0.5,N99))</f>
        <v>0.28864886956370839</v>
      </c>
      <c r="Y99" s="147">
        <f t="shared" ref="Y99" si="90">0.1/X99</f>
        <v>0.34644168241902212</v>
      </c>
    </row>
    <row r="100" spans="2:25" s="5" customFormat="1" x14ac:dyDescent="0.25">
      <c r="B100" s="22"/>
      <c r="C100" s="36">
        <v>43277.409722222219</v>
      </c>
      <c r="D100" s="123">
        <v>0.04</v>
      </c>
      <c r="E100" s="126">
        <v>132</v>
      </c>
      <c r="F100" s="114">
        <v>200</v>
      </c>
      <c r="G100" s="13">
        <v>20</v>
      </c>
      <c r="H100" s="13">
        <v>-2</v>
      </c>
      <c r="I100" s="13">
        <f t="shared" ref="I100:I101" si="91">-LOG((1/(G100^2))*(2.511^(-H100)))/LOG(2.511)</f>
        <v>4.5076438259882883</v>
      </c>
      <c r="J100" s="121" t="s">
        <v>435</v>
      </c>
      <c r="K100" s="121"/>
      <c r="L100" s="121"/>
      <c r="M100" s="13">
        <v>28</v>
      </c>
      <c r="N100" s="143">
        <v>0.6</v>
      </c>
      <c r="O100" s="5">
        <v>0</v>
      </c>
      <c r="P100" s="5">
        <v>1</v>
      </c>
      <c r="Q100" s="22"/>
      <c r="R100" s="6">
        <v>43280</v>
      </c>
      <c r="S100" s="256">
        <v>0.6</v>
      </c>
      <c r="T100" s="256">
        <f t="shared" ref="T100:T101" si="92">1/SIN(RADIANS(M100+244/(165+47*M100^1.1)))</f>
        <v>2.1215691912932564</v>
      </c>
      <c r="U100" s="114">
        <f t="shared" ref="U100:U101" si="93">DEGREES(ASIN(SIN(RADIANS(F100))*SIN(RADIANS(25.19))))</f>
        <v>-8.3703505328799661</v>
      </c>
      <c r="V100" s="114">
        <v>22.22</v>
      </c>
      <c r="W100" s="26">
        <f t="shared" ref="W100" si="94">668.5921*MOD((C100-Z$1),686.9726)/686.9726</f>
        <v>405.70322628178309</v>
      </c>
      <c r="X100" s="147">
        <f t="shared" ref="X100" si="95">(S100/(G100/2))*T100/(IF(ISBLANK(N100),0.5,N100))</f>
        <v>0.21215691912932563</v>
      </c>
      <c r="Y100" s="147">
        <f t="shared" ref="Y100" si="96">0.1/X100</f>
        <v>0.47134922778098259</v>
      </c>
    </row>
    <row r="101" spans="2:25" s="5" customFormat="1" x14ac:dyDescent="0.25">
      <c r="B101" s="22"/>
      <c r="C101" s="36">
        <v>43296.23333333333</v>
      </c>
      <c r="D101" s="123">
        <v>0.01</v>
      </c>
      <c r="E101" s="126">
        <v>257.5</v>
      </c>
      <c r="F101" s="114">
        <v>212</v>
      </c>
      <c r="G101" s="13">
        <v>23.2</v>
      </c>
      <c r="H101" s="13">
        <v>-2.6</v>
      </c>
      <c r="I101" s="13">
        <f t="shared" si="91"/>
        <v>4.2300573268500408</v>
      </c>
      <c r="J101" s="121" t="s">
        <v>435</v>
      </c>
      <c r="K101" s="121"/>
      <c r="L101" s="121"/>
      <c r="M101" s="13">
        <v>16</v>
      </c>
      <c r="N101" s="143">
        <v>0.8</v>
      </c>
      <c r="O101" s="5">
        <v>0</v>
      </c>
      <c r="P101" s="5">
        <v>1</v>
      </c>
      <c r="Q101" s="22"/>
      <c r="R101" s="6">
        <v>43296</v>
      </c>
      <c r="S101" s="256">
        <v>0.6</v>
      </c>
      <c r="T101" s="256">
        <f t="shared" si="92"/>
        <v>3.5820108550863048</v>
      </c>
      <c r="U101" s="114">
        <f t="shared" si="93"/>
        <v>-13.034925801958996</v>
      </c>
      <c r="V101" s="114">
        <v>22.22</v>
      </c>
      <c r="W101" s="26">
        <f t="shared" ref="W101" si="97">668.5921*MOD((C101-Z$1),686.9726)/686.9726</f>
        <v>424.02319665958419</v>
      </c>
      <c r="X101" s="147">
        <f t="shared" ref="X101" si="98">(S101/(G101/2))*T101/(IF(ISBLANK(N101),0.5,N101))</f>
        <v>0.2315955294236835</v>
      </c>
      <c r="Y101" s="147">
        <f t="shared" ref="Y101" si="99">0.1/X101</f>
        <v>0.43178726398063955</v>
      </c>
    </row>
    <row r="102" spans="2:25" s="5" customFormat="1" x14ac:dyDescent="0.25">
      <c r="B102" s="22"/>
      <c r="C102" s="36">
        <v>43312.245138888888</v>
      </c>
      <c r="D102" s="123">
        <v>0</v>
      </c>
      <c r="E102" s="126">
        <v>120</v>
      </c>
      <c r="F102" s="114">
        <v>221</v>
      </c>
      <c r="G102" s="13">
        <v>24.3</v>
      </c>
      <c r="H102" s="13">
        <v>-2.8</v>
      </c>
      <c r="I102" s="13">
        <f t="shared" ref="I102:I105" si="100">-LOG((1/(G102^2))*(2.511^(-H102)))/LOG(2.511)</f>
        <v>4.1306873336389511</v>
      </c>
      <c r="J102" s="121" t="s">
        <v>435</v>
      </c>
      <c r="K102" s="121"/>
      <c r="L102" s="121"/>
      <c r="M102" s="13">
        <v>21</v>
      </c>
      <c r="N102" s="143">
        <v>0.8</v>
      </c>
      <c r="O102" s="5">
        <v>0</v>
      </c>
      <c r="P102" s="5">
        <v>1</v>
      </c>
      <c r="Q102" s="22"/>
      <c r="R102" s="6">
        <v>43296</v>
      </c>
      <c r="S102" s="256">
        <v>0.6</v>
      </c>
      <c r="T102" s="256">
        <f t="shared" ref="T102:T105" si="101">1/SIN(RADIANS(M102+244/(165+47*M102^1.1)))</f>
        <v>2.7699966502462186</v>
      </c>
      <c r="U102" s="114">
        <f t="shared" ref="U102:U105" si="102">DEGREES(ASIN(SIN(RADIANS(F102))*SIN(RADIANS(25.19))))</f>
        <v>-16.214417468422315</v>
      </c>
      <c r="V102" s="114">
        <v>22.22</v>
      </c>
      <c r="W102" s="26">
        <f t="shared" ref="W102:W104" si="103">668.5921*MOD((C102-Z$1),686.9726)/686.9726</f>
        <v>439.60659358281225</v>
      </c>
      <c r="X102" s="147">
        <f t="shared" ref="X102:X104" si="104">(S102/(G102/2))*T102/(IF(ISBLANK(N102),0.5,N102))</f>
        <v>0.17098744754606285</v>
      </c>
      <c r="Y102" s="147">
        <f t="shared" ref="Y102:Y104" si="105">0.1/X102</f>
        <v>0.58483825236972842</v>
      </c>
    </row>
    <row r="103" spans="2:25" s="5" customFormat="1" x14ac:dyDescent="0.25">
      <c r="B103" s="22"/>
      <c r="C103" s="36">
        <v>43326.145138888889</v>
      </c>
      <c r="D103" s="123">
        <v>0.02</v>
      </c>
      <c r="E103" s="126">
        <v>320.10000000000002</v>
      </c>
      <c r="F103" s="114">
        <v>230</v>
      </c>
      <c r="G103" s="13">
        <v>23.5</v>
      </c>
      <c r="H103" s="13">
        <v>-2.5</v>
      </c>
      <c r="I103" s="13">
        <f t="shared" si="100"/>
        <v>4.3579674094063163</v>
      </c>
      <c r="J103" s="121" t="s">
        <v>435</v>
      </c>
      <c r="K103" s="121"/>
      <c r="L103" s="121"/>
      <c r="M103" s="13">
        <v>17</v>
      </c>
      <c r="N103" s="143">
        <v>0.4</v>
      </c>
      <c r="O103" s="5">
        <v>0</v>
      </c>
      <c r="P103" s="5">
        <v>1</v>
      </c>
      <c r="Q103" s="22"/>
      <c r="R103" s="6">
        <v>43296</v>
      </c>
      <c r="S103" s="256">
        <v>0.6</v>
      </c>
      <c r="T103" s="256">
        <f t="shared" si="101"/>
        <v>3.381891101439078</v>
      </c>
      <c r="U103" s="114">
        <f t="shared" si="102"/>
        <v>-19.028890741463766</v>
      </c>
      <c r="V103" s="114">
        <v>22.22</v>
      </c>
      <c r="W103" s="26">
        <f t="shared" si="103"/>
        <v>453.13468799298374</v>
      </c>
      <c r="X103" s="147">
        <f t="shared" si="104"/>
        <v>0.43173077890711631</v>
      </c>
      <c r="Y103" s="147">
        <f t="shared" si="105"/>
        <v>0.23162582999789846</v>
      </c>
    </row>
    <row r="104" spans="2:25" s="5" customFormat="1" x14ac:dyDescent="0.25">
      <c r="B104" s="22"/>
      <c r="C104" s="36">
        <v>43356.162499999999</v>
      </c>
      <c r="D104" s="123">
        <v>0.09</v>
      </c>
      <c r="E104" s="126">
        <v>52.8</v>
      </c>
      <c r="F104" s="114">
        <v>249</v>
      </c>
      <c r="G104" s="13">
        <v>18.7</v>
      </c>
      <c r="H104" s="13">
        <v>-1.8</v>
      </c>
      <c r="I104" s="13">
        <f t="shared" si="100"/>
        <v>4.5616459312978863</v>
      </c>
      <c r="J104" s="121" t="s">
        <v>435</v>
      </c>
      <c r="K104" s="121"/>
      <c r="L104" s="121"/>
      <c r="M104" s="13">
        <v>25</v>
      </c>
      <c r="N104" s="143">
        <v>0.6</v>
      </c>
      <c r="O104" s="5">
        <v>0</v>
      </c>
      <c r="P104" s="5">
        <v>1</v>
      </c>
      <c r="Q104" s="22"/>
      <c r="R104" s="6">
        <v>43296</v>
      </c>
      <c r="S104" s="256">
        <v>0.6</v>
      </c>
      <c r="T104" s="256">
        <f t="shared" si="101"/>
        <v>2.3541715985387959</v>
      </c>
      <c r="U104" s="114">
        <f t="shared" si="102"/>
        <v>-23.412729103001883</v>
      </c>
      <c r="V104" s="114">
        <v>22.22</v>
      </c>
      <c r="W104" s="26">
        <f t="shared" si="103"/>
        <v>482.34891065882954</v>
      </c>
      <c r="X104" s="147">
        <f t="shared" si="104"/>
        <v>0.25178305866725093</v>
      </c>
      <c r="Y104" s="147">
        <f t="shared" si="105"/>
        <v>0.39716730954546492</v>
      </c>
    </row>
    <row r="105" spans="2:25" s="5" customFormat="1" x14ac:dyDescent="0.25">
      <c r="B105" s="22"/>
      <c r="C105" s="36">
        <v>43366.149305555555</v>
      </c>
      <c r="D105" s="123">
        <v>0.1</v>
      </c>
      <c r="E105" s="126">
        <v>314.60000000000002</v>
      </c>
      <c r="F105" s="114">
        <v>256</v>
      </c>
      <c r="G105" s="13">
        <v>17</v>
      </c>
      <c r="H105" s="13">
        <v>-1.5</v>
      </c>
      <c r="I105" s="13">
        <f t="shared" si="100"/>
        <v>4.6546031629460867</v>
      </c>
      <c r="J105" s="120" t="s">
        <v>435</v>
      </c>
      <c r="K105" s="121"/>
      <c r="L105" s="121"/>
      <c r="M105" s="13">
        <v>26</v>
      </c>
      <c r="N105" s="143">
        <v>1</v>
      </c>
      <c r="O105" s="5">
        <v>0</v>
      </c>
      <c r="P105" s="5">
        <v>1</v>
      </c>
      <c r="Q105" s="22"/>
      <c r="R105" s="6">
        <v>43382</v>
      </c>
      <c r="S105" s="256">
        <v>0.6</v>
      </c>
      <c r="T105" s="256">
        <f t="shared" si="101"/>
        <v>2.2705060788377418</v>
      </c>
      <c r="U105" s="114">
        <f t="shared" si="102"/>
        <v>-24.392082987923679</v>
      </c>
      <c r="V105" s="114">
        <v>22.22</v>
      </c>
      <c r="W105" s="26">
        <f t="shared" ref="W105" si="106">668.5921*MOD((C105-Z$1),686.9726)/686.9726</f>
        <v>492.06851126397879</v>
      </c>
      <c r="X105" s="147">
        <f t="shared" ref="X105" si="107">(S105/(G105/2))*T105/(IF(ISBLANK(N105),0.5,N105))</f>
        <v>0.16027101732972296</v>
      </c>
      <c r="Y105" s="147">
        <f t="shared" ref="Y105" si="108">0.1/X105</f>
        <v>0.62394312874592683</v>
      </c>
    </row>
    <row r="106" spans="2:25" s="5" customFormat="1" x14ac:dyDescent="0.25">
      <c r="B106" s="22"/>
      <c r="C106" s="36">
        <v>43390.087500000001</v>
      </c>
      <c r="D106" s="123">
        <v>0.13</v>
      </c>
      <c r="E106" s="126">
        <v>64.7</v>
      </c>
      <c r="F106" s="114">
        <v>271</v>
      </c>
      <c r="G106" s="13">
        <v>13.6</v>
      </c>
      <c r="H106" s="13">
        <v>-0.9</v>
      </c>
      <c r="I106" s="13">
        <f t="shared" ref="I106" si="109">-LOG((1/(G106^2))*(2.511^(-H106)))/LOG(2.511)</f>
        <v>4.7698673383070345</v>
      </c>
      <c r="J106" s="120" t="s">
        <v>435</v>
      </c>
      <c r="K106" s="121"/>
      <c r="L106" s="121"/>
      <c r="M106" s="13">
        <v>30</v>
      </c>
      <c r="N106" s="143">
        <v>1</v>
      </c>
      <c r="O106" s="5">
        <v>0</v>
      </c>
      <c r="P106" s="5">
        <v>1</v>
      </c>
      <c r="Q106" s="22"/>
      <c r="R106" s="6">
        <v>43392</v>
      </c>
      <c r="S106" s="256">
        <v>0.6</v>
      </c>
      <c r="T106" s="256">
        <f t="shared" ref="T106" si="110">1/SIN(RADIANS(M106+244/(165+47*M106^1.1)))</f>
        <v>1.9931538464145713</v>
      </c>
      <c r="U106" s="114">
        <f t="shared" ref="U106" si="111">DEGREES(ASIN(SIN(RADIANS(F106))*SIN(RADIANS(25.19))))</f>
        <v>-25.185895585504227</v>
      </c>
      <c r="V106" s="114">
        <v>22.22</v>
      </c>
      <c r="W106" s="26">
        <f t="shared" ref="W106" si="112">668.5921*MOD((C106-Z$1),686.9726)/686.9726</f>
        <v>515.36622021746689</v>
      </c>
      <c r="X106" s="147">
        <f t="shared" ref="X106" si="113">(S106/(G106/2))*T106/(IF(ISBLANK(N106),0.5,N106))</f>
        <v>0.17586651586010923</v>
      </c>
      <c r="Y106" s="147">
        <f t="shared" ref="Y106" si="114">0.1/X106</f>
        <v>0.5686130728804778</v>
      </c>
    </row>
    <row r="107" spans="2:25" s="5" customFormat="1" x14ac:dyDescent="0.25">
      <c r="B107" s="22"/>
      <c r="C107" s="36">
        <v>43395.082638888889</v>
      </c>
      <c r="D107" s="123">
        <v>0.14000000000000001</v>
      </c>
      <c r="E107" s="126">
        <v>15</v>
      </c>
      <c r="F107" s="114">
        <v>274</v>
      </c>
      <c r="G107" s="13">
        <v>13</v>
      </c>
      <c r="H107" s="13">
        <v>-0.8</v>
      </c>
      <c r="I107" s="13">
        <f t="shared" ref="I107" si="115">-LOG((1/(G107^2))*(2.511^(-H107)))/LOG(2.511)</f>
        <v>4.7718519967256228</v>
      </c>
      <c r="J107" s="120" t="s">
        <v>435</v>
      </c>
      <c r="K107" s="121"/>
      <c r="L107" s="121"/>
      <c r="M107" s="13">
        <v>31</v>
      </c>
      <c r="N107" s="143">
        <v>0.8</v>
      </c>
      <c r="O107" s="5">
        <v>0</v>
      </c>
      <c r="P107" s="5">
        <v>1</v>
      </c>
      <c r="Q107" s="22"/>
      <c r="R107" s="6">
        <v>43398</v>
      </c>
      <c r="S107" s="256">
        <v>0.6</v>
      </c>
      <c r="T107" s="256">
        <f t="shared" ref="T107" si="116">1/SIN(RADIANS(M107+244/(165+47*M107^1.1)))</f>
        <v>1.9354257648171831</v>
      </c>
      <c r="U107" s="114">
        <f t="shared" ref="U107" si="117">DEGREES(ASIN(SIN(RADIANS(F107))*SIN(RADIANS(25.19))))</f>
        <v>-25.124370928862934</v>
      </c>
      <c r="V107" s="114">
        <v>22.22</v>
      </c>
      <c r="W107" s="26">
        <f t="shared" ref="W107" si="118">668.5921*MOD((C107-Z$1),686.9726)/686.9726</f>
        <v>520.22771018011315</v>
      </c>
      <c r="X107" s="147">
        <f t="shared" ref="X107" si="119">(S107/(G107/2))*T107/(IF(ISBLANK(N107),0.5,N107))</f>
        <v>0.22331835747890572</v>
      </c>
      <c r="Y107" s="147">
        <f t="shared" ref="Y107" si="120">0.1/X107</f>
        <v>0.4477912211469039</v>
      </c>
    </row>
    <row r="108" spans="2:25" s="5" customFormat="1" x14ac:dyDescent="0.25">
      <c r="B108" s="22"/>
      <c r="C108" s="36">
        <v>43419.087569444448</v>
      </c>
      <c r="D108" s="123">
        <v>0.14000000000000001</v>
      </c>
      <c r="E108" s="126">
        <v>146.19999999999999</v>
      </c>
      <c r="F108" s="114">
        <v>289</v>
      </c>
      <c r="G108" s="13">
        <v>10.5</v>
      </c>
      <c r="H108" s="13">
        <v>-0.3</v>
      </c>
      <c r="I108" s="13">
        <f t="shared" ref="I108:I109" si="121">-LOG((1/(G108^2))*(2.511^(-H108)))/LOG(2.511)</f>
        <v>4.8079039371926529</v>
      </c>
      <c r="J108" s="120" t="s">
        <v>435</v>
      </c>
      <c r="K108" s="121"/>
      <c r="L108" s="121"/>
      <c r="M108" s="13">
        <v>36</v>
      </c>
      <c r="N108" s="143">
        <v>0.8</v>
      </c>
      <c r="O108" s="5">
        <v>0</v>
      </c>
      <c r="P108" s="5">
        <v>1</v>
      </c>
      <c r="Q108" s="22"/>
      <c r="R108" s="6">
        <v>43398</v>
      </c>
      <c r="S108" s="256">
        <v>0.6</v>
      </c>
      <c r="T108" s="256">
        <f t="shared" ref="T108:T109" si="122">1/SIN(RADIANS(M108+244/(165+47*M108^1.1)))</f>
        <v>1.69745673705643</v>
      </c>
      <c r="U108" s="114">
        <f t="shared" ref="U108" si="123">DEGREES(ASIN(SIN(RADIANS(F108))*SIN(RADIANS(25.19))))</f>
        <v>-23.730359471973948</v>
      </c>
      <c r="V108" s="114">
        <v>22.22</v>
      </c>
      <c r="W108" s="26">
        <f t="shared" ref="W108" si="124">668.5921*MOD((C108-Z$1),686.9726)/686.9726</f>
        <v>543.59036966681617</v>
      </c>
      <c r="X108" s="147">
        <f t="shared" ref="X108" si="125">(S108/(G108/2))*T108/(IF(ISBLANK(N108),0.5,N108))</f>
        <v>0.24249381957948998</v>
      </c>
      <c r="Y108" s="147">
        <f t="shared" ref="Y108" si="126">0.1/X108</f>
        <v>0.41238164409060246</v>
      </c>
    </row>
    <row r="109" spans="2:25" s="5" customFormat="1" x14ac:dyDescent="0.25">
      <c r="B109" s="22"/>
      <c r="C109" s="36">
        <v>43424.127083333333</v>
      </c>
      <c r="D109" s="123">
        <v>0.14000000000000001</v>
      </c>
      <c r="E109" s="126">
        <v>108.7</v>
      </c>
      <c r="F109" s="114">
        <v>292</v>
      </c>
      <c r="G109" s="13">
        <v>10.1</v>
      </c>
      <c r="H109" s="13">
        <v>-0.2</v>
      </c>
      <c r="I109" s="13">
        <f t="shared" si="121"/>
        <v>4.823531977884306</v>
      </c>
      <c r="J109" s="121" t="s">
        <v>435</v>
      </c>
      <c r="K109" s="121"/>
      <c r="L109" s="121"/>
      <c r="M109" s="13">
        <v>33</v>
      </c>
      <c r="N109" s="143">
        <v>0.8</v>
      </c>
      <c r="O109" s="5">
        <v>0</v>
      </c>
      <c r="P109" s="5">
        <v>1</v>
      </c>
      <c r="Q109" s="22"/>
      <c r="R109" s="6">
        <v>43424</v>
      </c>
      <c r="S109" s="256">
        <v>0.6</v>
      </c>
      <c r="T109" s="256">
        <f t="shared" si="122"/>
        <v>1.8310048580706904</v>
      </c>
      <c r="U109" s="114">
        <f t="shared" ref="U109" si="127">DEGREES(ASIN(SIN(RADIANS(F109))*SIN(RADIANS(25.19))))</f>
        <v>-23.242853710488841</v>
      </c>
      <c r="V109" s="114">
        <v>22.22</v>
      </c>
      <c r="W109" s="26">
        <f t="shared" ref="W109" si="128">668.5921*MOD((C109-Z$1),686.9726)/686.9726</f>
        <v>548.49504734093148</v>
      </c>
      <c r="X109" s="147">
        <f t="shared" ref="X109" si="129">(S109/(G109/2))*T109/(IF(ISBLANK(N109),0.5,N109))</f>
        <v>0.27193141456495401</v>
      </c>
      <c r="Y109" s="147">
        <f t="shared" ref="Y109" si="130">0.1/X109</f>
        <v>0.36773978526895734</v>
      </c>
    </row>
    <row r="110" spans="2:25" s="5" customFormat="1" x14ac:dyDescent="0.25">
      <c r="B110" s="22"/>
      <c r="C110" s="36">
        <v>43425.03402777778</v>
      </c>
      <c r="D110" s="123">
        <v>0.14000000000000001</v>
      </c>
      <c r="E110" s="126">
        <v>66.3</v>
      </c>
      <c r="F110" s="114">
        <v>292</v>
      </c>
      <c r="G110" s="13">
        <v>10</v>
      </c>
      <c r="H110" s="13">
        <v>-0.2</v>
      </c>
      <c r="I110" s="13">
        <f t="shared" ref="I110" si="131">-LOG((1/(G110^2))*(2.511^(-H110)))/LOG(2.511)</f>
        <v>4.801916825650979</v>
      </c>
      <c r="J110" s="121" t="s">
        <v>435</v>
      </c>
      <c r="K110" s="121"/>
      <c r="L110" s="121"/>
      <c r="M110" s="13">
        <v>38</v>
      </c>
      <c r="N110" s="143">
        <v>1</v>
      </c>
      <c r="O110" s="5">
        <v>0</v>
      </c>
      <c r="P110" s="5">
        <v>1</v>
      </c>
      <c r="Q110" s="22"/>
      <c r="R110" s="6">
        <v>43425</v>
      </c>
      <c r="S110" s="256">
        <v>0.6</v>
      </c>
      <c r="T110" s="256">
        <f t="shared" ref="T110" si="132">1/SIN(RADIANS(M110+244/(165+47*M110^1.1)))</f>
        <v>1.6210400213471086</v>
      </c>
      <c r="U110" s="114">
        <f t="shared" ref="U110" si="133">DEGREES(ASIN(SIN(RADIANS(F110))*SIN(RADIANS(25.19))))</f>
        <v>-23.242853710488841</v>
      </c>
      <c r="V110" s="114">
        <v>22.22</v>
      </c>
      <c r="W110" s="26">
        <f t="shared" ref="W110" si="134">668.5921*MOD((C110-Z$1),686.9726)/686.9726</f>
        <v>549.37772576318002</v>
      </c>
      <c r="X110" s="147">
        <f t="shared" ref="X110" si="135">(S110/(G110/2))*T110/(IF(ISBLANK(N110),0.5,N110))</f>
        <v>0.19452480256165303</v>
      </c>
      <c r="Y110" s="147">
        <f t="shared" ref="Y110" si="136">0.1/X110</f>
        <v>0.51407326306528878</v>
      </c>
    </row>
    <row r="111" spans="2:25" s="5" customFormat="1" x14ac:dyDescent="0.25">
      <c r="B111" s="22"/>
      <c r="C111" s="36">
        <v>43451.015694444446</v>
      </c>
      <c r="D111" s="123">
        <v>0.13</v>
      </c>
      <c r="E111" s="126">
        <v>164.4</v>
      </c>
      <c r="F111" s="114">
        <v>308</v>
      </c>
      <c r="G111" s="13">
        <v>8.1999999999999993</v>
      </c>
      <c r="H111" s="13">
        <v>0.2</v>
      </c>
      <c r="I111" s="13">
        <f t="shared" ref="I111:I112" si="137">-LOG((1/(G111^2))*(2.511^(-H111)))/LOG(2.511)</f>
        <v>4.7708208837510524</v>
      </c>
      <c r="J111" s="121" t="s">
        <v>435</v>
      </c>
      <c r="K111" s="121"/>
      <c r="L111" s="121"/>
      <c r="M111" s="13">
        <v>45</v>
      </c>
      <c r="N111" s="143">
        <v>0.8</v>
      </c>
      <c r="O111" s="5">
        <v>0</v>
      </c>
      <c r="P111" s="5">
        <v>1</v>
      </c>
      <c r="Q111" s="22"/>
      <c r="R111" s="6">
        <v>43452</v>
      </c>
      <c r="S111" s="256">
        <v>0.6</v>
      </c>
      <c r="T111" s="256">
        <f t="shared" ref="T111:T112" si="138">1/SIN(RADIANS(M111+244/(165+47*M111^1.1)))</f>
        <v>1.4123696442557017</v>
      </c>
      <c r="U111" s="114">
        <f t="shared" ref="U111:U112" si="139">DEGREES(ASIN(SIN(RADIANS(F111))*SIN(RADIANS(25.19))))</f>
        <v>-19.596511487075084</v>
      </c>
      <c r="V111" s="114">
        <v>22.22</v>
      </c>
      <c r="W111" s="26">
        <f t="shared" ref="W111" si="140">668.5921*MOD((C111-Z$1),686.9726)/686.9726</f>
        <v>574.66423220924003</v>
      </c>
      <c r="X111" s="147">
        <f t="shared" ref="X111" si="141">(S111/(G111/2))*T111/(IF(ISBLANK(N111),0.5,N111))</f>
        <v>0.25836030077848199</v>
      </c>
      <c r="Y111" s="147">
        <f t="shared" ref="Y111" si="142">0.1/X111</f>
        <v>0.3870563693364793</v>
      </c>
    </row>
    <row r="112" spans="2:25" s="5" customFormat="1" x14ac:dyDescent="0.25">
      <c r="B112" s="22"/>
      <c r="C112" s="36">
        <v>43469.081944444442</v>
      </c>
      <c r="D112" s="123">
        <v>0.13</v>
      </c>
      <c r="E112" s="126">
        <v>9.9</v>
      </c>
      <c r="F112" s="114">
        <v>318</v>
      </c>
      <c r="G112" s="13">
        <v>7.3</v>
      </c>
      <c r="H112" s="13">
        <v>0.5</v>
      </c>
      <c r="I112" s="13">
        <f t="shared" si="137"/>
        <v>4.8182691400056354</v>
      </c>
      <c r="J112" s="120" t="s">
        <v>435</v>
      </c>
      <c r="K112" s="121"/>
      <c r="L112" s="121"/>
      <c r="M112" s="13">
        <v>44</v>
      </c>
      <c r="N112" s="143">
        <v>0.8</v>
      </c>
      <c r="O112" s="5">
        <v>0</v>
      </c>
      <c r="P112" s="5">
        <v>1</v>
      </c>
      <c r="Q112" s="22"/>
      <c r="R112" s="6">
        <v>43475</v>
      </c>
      <c r="S112" s="256">
        <v>0.6</v>
      </c>
      <c r="T112" s="256">
        <f t="shared" si="138"/>
        <v>1.4375669048961375</v>
      </c>
      <c r="U112" s="114">
        <f t="shared" si="139"/>
        <v>-16.54667169202936</v>
      </c>
      <c r="V112" s="114">
        <v>22.22</v>
      </c>
      <c r="W112" s="26">
        <f t="shared" ref="W112" si="143">668.5921*MOD((C112-Z$1),686.9726)/686.9726</f>
        <v>592.24710527669924</v>
      </c>
      <c r="X112" s="147">
        <f t="shared" ref="X112" si="144">(S112/(G112/2))*T112/(IF(ISBLANK(N112),0.5,N112))</f>
        <v>0.29539045991016522</v>
      </c>
      <c r="Y112" s="147">
        <f t="shared" ref="Y112" si="145">0.1/X112</f>
        <v>0.33853496836157887</v>
      </c>
    </row>
    <row r="113" spans="2:25" s="5" customFormat="1" x14ac:dyDescent="0.25">
      <c r="B113" s="22"/>
      <c r="C113" s="36">
        <v>43479.090277777781</v>
      </c>
      <c r="D113" s="123">
        <v>0.12</v>
      </c>
      <c r="E113" s="126">
        <v>274.10000000000002</v>
      </c>
      <c r="F113" s="114">
        <v>324</v>
      </c>
      <c r="G113" s="13">
        <v>6.8</v>
      </c>
      <c r="H113" s="13">
        <v>0.6</v>
      </c>
      <c r="I113" s="13">
        <f t="shared" ref="I113" si="146">-LOG((1/(G113^2))*(2.511^(-H113)))/LOG(2.511)</f>
        <v>4.7641403379697254</v>
      </c>
      <c r="J113" s="120" t="s">
        <v>435</v>
      </c>
      <c r="K113" s="121"/>
      <c r="L113" s="121"/>
      <c r="M113" s="13">
        <v>43</v>
      </c>
      <c r="N113" s="143">
        <v>0.8</v>
      </c>
      <c r="O113" s="5">
        <v>0</v>
      </c>
      <c r="P113" s="5">
        <v>1</v>
      </c>
      <c r="Q113" s="22"/>
      <c r="R113" s="6">
        <v>43475</v>
      </c>
      <c r="S113" s="256">
        <v>0.6</v>
      </c>
      <c r="T113" s="256">
        <f t="shared" ref="T113" si="147">1/SIN(RADIANS(M113+244/(165+47*M113^1.1)))</f>
        <v>1.4641297922242409</v>
      </c>
      <c r="U113" s="114">
        <f t="shared" ref="U113" si="148">DEGREES(ASIN(SIN(RADIANS(F113))*SIN(RADIANS(25.19))))</f>
        <v>-14.487806490242948</v>
      </c>
      <c r="V113" s="114">
        <v>22.22</v>
      </c>
      <c r="W113" s="26">
        <f t="shared" ref="W113" si="149">668.5921*MOD((C113-Z$1),686.9726)/686.9726</f>
        <v>601.98765766676092</v>
      </c>
      <c r="X113" s="147">
        <f t="shared" ref="X113" si="150">(S113/(G113/2))*T113/(IF(ISBLANK(N113),0.5,N113))</f>
        <v>0.32296980710828843</v>
      </c>
      <c r="Y113" s="147">
        <f t="shared" ref="Y113" si="151">0.1/X113</f>
        <v>0.30962646600111149</v>
      </c>
    </row>
    <row r="114" spans="2:25" s="5" customFormat="1" x14ac:dyDescent="0.25">
      <c r="B114" s="22"/>
      <c r="C114" s="36"/>
      <c r="D114" s="123"/>
      <c r="E114" s="126"/>
      <c r="F114" s="114"/>
      <c r="G114" s="13"/>
      <c r="H114" s="13"/>
      <c r="I114" s="13"/>
      <c r="J114" s="121"/>
      <c r="K114" s="121"/>
      <c r="L114" s="121"/>
      <c r="M114" s="13"/>
      <c r="N114" s="143"/>
      <c r="Q114" s="22"/>
      <c r="R114" s="6"/>
      <c r="S114" s="62"/>
      <c r="T114" s="6"/>
      <c r="U114" s="114"/>
      <c r="V114" s="114"/>
      <c r="W114" s="26"/>
      <c r="X114" s="26"/>
      <c r="Y114" s="26"/>
    </row>
    <row r="115" spans="2:25" s="5" customFormat="1" x14ac:dyDescent="0.25">
      <c r="B115" s="22"/>
      <c r="C115" s="36"/>
      <c r="D115" s="123"/>
      <c r="E115" s="126"/>
      <c r="F115" s="114"/>
      <c r="G115" s="13"/>
      <c r="H115" s="13"/>
      <c r="I115" s="13"/>
      <c r="J115" s="121"/>
      <c r="K115" s="121"/>
      <c r="L115" s="121"/>
      <c r="M115" s="13"/>
      <c r="N115" s="143"/>
      <c r="Q115" s="22"/>
      <c r="R115" s="6"/>
      <c r="S115" s="62"/>
      <c r="T115" s="6"/>
      <c r="U115" s="114"/>
      <c r="V115" s="114"/>
      <c r="W115" s="26"/>
      <c r="X115" s="26"/>
      <c r="Y115" s="26"/>
    </row>
    <row r="116" spans="2:25" s="5" customFormat="1" x14ac:dyDescent="0.25">
      <c r="B116" s="22"/>
      <c r="C116" s="36"/>
      <c r="D116" s="123"/>
      <c r="E116" s="126"/>
      <c r="F116" s="114"/>
      <c r="G116" s="13"/>
      <c r="H116" s="13"/>
      <c r="I116" s="13"/>
      <c r="J116" s="121"/>
      <c r="K116" s="121"/>
      <c r="L116" s="121"/>
      <c r="M116" s="13"/>
      <c r="N116" s="143"/>
      <c r="Q116" s="22"/>
      <c r="R116" s="6"/>
      <c r="S116" s="62"/>
      <c r="T116" s="6"/>
      <c r="U116" s="114"/>
      <c r="V116" s="114"/>
      <c r="W116" s="26"/>
      <c r="X116" s="26"/>
      <c r="Y116" s="26"/>
    </row>
    <row r="117" spans="2:25" s="5" customFormat="1" x14ac:dyDescent="0.25">
      <c r="B117" s="22"/>
      <c r="C117" s="36"/>
      <c r="D117" s="123"/>
      <c r="E117" s="126"/>
      <c r="F117" s="114"/>
      <c r="G117" s="13"/>
      <c r="H117" s="13"/>
      <c r="I117" s="13"/>
      <c r="J117" s="121"/>
      <c r="K117" s="121"/>
      <c r="L117" s="121"/>
      <c r="M117" s="13"/>
      <c r="N117" s="143"/>
      <c r="Q117" s="22"/>
      <c r="R117" s="6"/>
      <c r="S117" s="62"/>
      <c r="T117" s="6"/>
      <c r="U117" s="114"/>
      <c r="V117" s="114"/>
      <c r="W117" s="26"/>
      <c r="X117" s="26"/>
      <c r="Y117" s="26"/>
    </row>
    <row r="118" spans="2:25" s="5" customFormat="1" x14ac:dyDescent="0.25">
      <c r="B118" s="22"/>
      <c r="C118" s="36"/>
      <c r="D118" s="123"/>
      <c r="E118" s="126"/>
      <c r="F118" s="114"/>
      <c r="G118" s="13"/>
      <c r="H118" s="13"/>
      <c r="I118" s="13"/>
      <c r="J118" s="121"/>
      <c r="K118" s="121"/>
      <c r="L118" s="121"/>
      <c r="M118" s="13"/>
      <c r="N118" s="143"/>
      <c r="Q118" s="22"/>
      <c r="R118" s="6"/>
      <c r="S118" s="62"/>
      <c r="T118" s="6"/>
      <c r="U118" s="114"/>
      <c r="V118" s="114"/>
      <c r="W118" s="26"/>
      <c r="X118" s="26"/>
      <c r="Y118" s="26"/>
    </row>
    <row r="119" spans="2:25" s="5" customFormat="1" x14ac:dyDescent="0.25">
      <c r="B119" s="22"/>
      <c r="C119" s="36"/>
      <c r="D119" s="123"/>
      <c r="E119" s="126"/>
      <c r="F119" s="114"/>
      <c r="G119" s="13"/>
      <c r="H119" s="13"/>
      <c r="I119" s="13"/>
      <c r="J119" s="121"/>
      <c r="K119" s="121"/>
      <c r="L119" s="121"/>
      <c r="M119" s="13"/>
      <c r="N119" s="143"/>
      <c r="Q119" s="22"/>
      <c r="R119" s="6"/>
      <c r="S119" s="62"/>
      <c r="T119" s="6"/>
      <c r="U119" s="114"/>
      <c r="V119" s="114"/>
      <c r="W119" s="26"/>
      <c r="X119" s="26"/>
      <c r="Y119" s="26"/>
    </row>
    <row r="120" spans="2:25" s="5" customFormat="1" x14ac:dyDescent="0.25">
      <c r="B120" s="22"/>
      <c r="C120" s="36"/>
      <c r="D120" s="123"/>
      <c r="E120" s="126"/>
      <c r="F120" s="114"/>
      <c r="G120" s="13"/>
      <c r="H120" s="13"/>
      <c r="I120" s="13"/>
      <c r="J120" s="121"/>
      <c r="K120" s="121"/>
      <c r="L120" s="121"/>
      <c r="M120" s="13"/>
      <c r="N120" s="143"/>
      <c r="Q120" s="22"/>
      <c r="R120" s="6"/>
      <c r="S120" s="62"/>
      <c r="T120" s="6"/>
      <c r="U120" s="114"/>
      <c r="V120" s="114"/>
      <c r="W120" s="26"/>
      <c r="X120" s="26"/>
      <c r="Y120" s="26"/>
    </row>
    <row r="121" spans="2:25" s="5" customFormat="1" x14ac:dyDescent="0.25">
      <c r="B121" s="22"/>
      <c r="C121" s="36"/>
      <c r="D121" s="123"/>
      <c r="E121" s="126"/>
      <c r="F121" s="114"/>
      <c r="G121" s="13"/>
      <c r="H121" s="13"/>
      <c r="I121" s="13"/>
      <c r="J121" s="121"/>
      <c r="K121" s="121"/>
      <c r="L121" s="121"/>
      <c r="M121" s="13"/>
      <c r="N121" s="143"/>
      <c r="Q121" s="22"/>
      <c r="R121" s="6"/>
      <c r="S121" s="62"/>
      <c r="T121" s="6"/>
      <c r="U121" s="114"/>
      <c r="V121" s="114"/>
      <c r="W121" s="26"/>
      <c r="X121" s="26"/>
      <c r="Y121" s="26"/>
    </row>
    <row r="122" spans="2:25" s="5" customFormat="1" x14ac:dyDescent="0.25">
      <c r="B122" s="22"/>
      <c r="C122" s="36"/>
      <c r="D122" s="123"/>
      <c r="E122" s="126"/>
      <c r="F122" s="114"/>
      <c r="G122" s="13"/>
      <c r="H122" s="13"/>
      <c r="I122" s="13"/>
      <c r="J122" s="121"/>
      <c r="K122" s="121"/>
      <c r="L122" s="121"/>
      <c r="M122" s="13"/>
      <c r="N122" s="143"/>
      <c r="Q122" s="22"/>
      <c r="R122" s="6"/>
      <c r="S122" s="62"/>
      <c r="T122" s="6"/>
      <c r="U122" s="114"/>
      <c r="V122" s="114"/>
      <c r="W122" s="26"/>
      <c r="X122" s="26"/>
      <c r="Y122" s="26"/>
    </row>
    <row r="123" spans="2:25" s="5" customFormat="1" x14ac:dyDescent="0.25">
      <c r="B123" s="22"/>
      <c r="C123" s="36"/>
      <c r="D123" s="123"/>
      <c r="E123" s="126"/>
      <c r="F123" s="114"/>
      <c r="G123" s="13"/>
      <c r="H123" s="13"/>
      <c r="I123" s="13"/>
      <c r="J123" s="121"/>
      <c r="K123" s="121"/>
      <c r="L123" s="121"/>
      <c r="M123" s="13"/>
      <c r="N123" s="143"/>
      <c r="Q123" s="22"/>
      <c r="R123" s="6"/>
      <c r="S123" s="62"/>
      <c r="T123" s="6"/>
      <c r="U123" s="114"/>
      <c r="V123" s="114"/>
      <c r="W123" s="26"/>
      <c r="X123" s="26"/>
      <c r="Y123" s="26"/>
    </row>
    <row r="124" spans="2:25" s="5" customFormat="1" x14ac:dyDescent="0.25">
      <c r="B124" s="22"/>
      <c r="C124" s="36"/>
      <c r="D124" s="123"/>
      <c r="E124" s="126"/>
      <c r="F124" s="114"/>
      <c r="G124" s="13"/>
      <c r="H124" s="13"/>
      <c r="I124" s="13"/>
      <c r="J124" s="121"/>
      <c r="K124" s="121"/>
      <c r="L124" s="121"/>
      <c r="M124" s="13"/>
      <c r="N124" s="143"/>
      <c r="Q124" s="22"/>
      <c r="R124" s="6"/>
      <c r="S124" s="62"/>
      <c r="T124" s="6"/>
      <c r="U124" s="114"/>
      <c r="V124" s="114"/>
      <c r="W124" s="26"/>
      <c r="X124" s="26"/>
      <c r="Y124" s="26"/>
    </row>
    <row r="125" spans="2:25" s="5" customFormat="1" x14ac:dyDescent="0.25">
      <c r="B125" s="22"/>
      <c r="C125" s="36"/>
      <c r="D125" s="123"/>
      <c r="E125" s="126"/>
      <c r="F125" s="114"/>
      <c r="G125" s="13"/>
      <c r="H125" s="13"/>
      <c r="I125" s="13"/>
      <c r="J125" s="121"/>
      <c r="K125" s="121"/>
      <c r="L125" s="121"/>
      <c r="M125" s="13"/>
      <c r="N125" s="143"/>
      <c r="Q125" s="22"/>
      <c r="R125" s="6"/>
      <c r="S125" s="62"/>
      <c r="T125" s="6"/>
      <c r="U125" s="114"/>
      <c r="V125" s="114"/>
      <c r="W125" s="26"/>
      <c r="X125" s="26"/>
      <c r="Y125" s="26"/>
    </row>
  </sheetData>
  <autoFilter ref="A1:AA92" xr:uid="{00000000-0009-0000-0000-000004000000}"/>
  <printOptions gridLines="1"/>
  <pageMargins left="0.75" right="0.75" top="1" bottom="1" header="0.5" footer="0.5"/>
  <pageSetup scale="10" orientation="landscape" r:id="rId1"/>
  <headerFooter alignWithMargins="0">
    <oddHeader>&amp;L&amp;D&amp;C&amp;F - &amp;A&amp;R&amp;T</oddHeader>
    <oddFooter>Page &amp;P of &amp;N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X144"/>
  <sheetViews>
    <sheetView zoomScale="80" zoomScaleNormal="80" workbookViewId="0">
      <pane xSplit="3" ySplit="1" topLeftCell="D57" activePane="bottomRight" state="frozenSplit"/>
      <selection pane="topRight" activeCell="D1" sqref="D1"/>
      <selection pane="bottomLeft" activeCell="A105" sqref="A105"/>
      <selection pane="bottomRight" activeCell="C59" sqref="C59"/>
    </sheetView>
  </sheetViews>
  <sheetFormatPr defaultColWidth="9.1796875" defaultRowHeight="12.5" x14ac:dyDescent="0.25"/>
  <cols>
    <col min="1" max="1" width="5.26953125" style="109" customWidth="1"/>
    <col min="2" max="2" width="8.54296875" style="105" customWidth="1"/>
    <col min="3" max="3" width="17.7265625" style="106" customWidth="1"/>
    <col min="4" max="5" width="6.54296875" style="107" customWidth="1"/>
    <col min="6" max="6" width="5.54296875" style="107" customWidth="1"/>
    <col min="7" max="9" width="6.1796875" style="107" customWidth="1"/>
    <col min="10" max="16" width="5.54296875" style="202" customWidth="1"/>
    <col min="17" max="17" width="5.453125" style="107" customWidth="1"/>
    <col min="18" max="18" width="4.81640625" style="230" customWidth="1"/>
    <col min="19" max="19" width="4.7265625" style="109" customWidth="1"/>
    <col min="20" max="20" width="4.1796875" style="109" customWidth="1"/>
    <col min="21" max="21" width="40.7265625" style="105" customWidth="1"/>
    <col min="22" max="22" width="12.453125" style="110" bestFit="1" customWidth="1"/>
    <col min="23" max="16384" width="9.1796875" style="109"/>
  </cols>
  <sheetData>
    <row r="1" spans="1:24" s="156" customFormat="1" ht="54.75" customHeight="1" x14ac:dyDescent="0.3">
      <c r="A1" s="148" t="s">
        <v>486</v>
      </c>
      <c r="B1" s="148" t="s">
        <v>233</v>
      </c>
      <c r="C1" s="149" t="s">
        <v>242</v>
      </c>
      <c r="D1" s="150" t="s">
        <v>447</v>
      </c>
      <c r="E1" s="150" t="s">
        <v>448</v>
      </c>
      <c r="F1" s="150" t="s">
        <v>135</v>
      </c>
      <c r="G1" s="150" t="s">
        <v>627</v>
      </c>
      <c r="H1" s="150" t="s">
        <v>629</v>
      </c>
      <c r="I1" s="150" t="s">
        <v>628</v>
      </c>
      <c r="J1" s="187" t="s">
        <v>474</v>
      </c>
      <c r="K1" s="187" t="s">
        <v>811</v>
      </c>
      <c r="L1" s="187" t="s">
        <v>416</v>
      </c>
      <c r="M1" s="187" t="s">
        <v>249</v>
      </c>
      <c r="N1" s="187" t="s">
        <v>417</v>
      </c>
      <c r="O1" s="187" t="s">
        <v>248</v>
      </c>
      <c r="P1" s="187" t="s">
        <v>473</v>
      </c>
      <c r="Q1" s="150" t="s">
        <v>131</v>
      </c>
      <c r="R1" s="223" t="s">
        <v>132</v>
      </c>
      <c r="S1" s="152" t="s">
        <v>12</v>
      </c>
      <c r="T1" s="152" t="s">
        <v>156</v>
      </c>
      <c r="U1" s="153" t="s">
        <v>155</v>
      </c>
      <c r="V1" s="154" t="s">
        <v>157</v>
      </c>
      <c r="W1" s="155">
        <f>SUM(S56:S72)</f>
        <v>0</v>
      </c>
      <c r="X1" s="155">
        <f>SUM(T2:T72)</f>
        <v>87</v>
      </c>
    </row>
    <row r="2" spans="1:24" s="156" customFormat="1" ht="50" x14ac:dyDescent="0.3">
      <c r="B2" s="165"/>
      <c r="C2" s="258">
        <v>28080</v>
      </c>
      <c r="D2" s="170">
        <v>48.9</v>
      </c>
      <c r="E2" s="170">
        <v>-2.9</v>
      </c>
      <c r="F2" s="46">
        <f t="shared" ref="F2:F33" si="0">-LOG((1/(D2^2))*(2.511^(-E2)))/LOG(2.511)</f>
        <v>5.5497824061716958</v>
      </c>
      <c r="G2" s="46"/>
      <c r="H2" s="46"/>
      <c r="I2" s="46"/>
      <c r="J2" s="164" t="s">
        <v>435</v>
      </c>
      <c r="K2" s="164" t="s">
        <v>435</v>
      </c>
      <c r="L2" s="46"/>
      <c r="M2" s="46"/>
      <c r="N2" s="46"/>
      <c r="O2" s="46"/>
      <c r="P2" s="46"/>
      <c r="Q2" s="170">
        <v>11</v>
      </c>
      <c r="R2" s="224"/>
      <c r="S2" s="167">
        <v>4</v>
      </c>
      <c r="T2" s="167">
        <v>0</v>
      </c>
      <c r="U2" s="158" t="s">
        <v>362</v>
      </c>
      <c r="V2" s="49">
        <v>39467</v>
      </c>
      <c r="W2" s="167"/>
      <c r="X2" s="167"/>
    </row>
    <row r="3" spans="1:24" s="156" customFormat="1" ht="75" x14ac:dyDescent="0.3">
      <c r="B3" s="165"/>
      <c r="C3" s="258">
        <v>28082</v>
      </c>
      <c r="D3" s="170">
        <v>48.9</v>
      </c>
      <c r="E3" s="170">
        <v>-2.9</v>
      </c>
      <c r="F3" s="46">
        <f t="shared" si="0"/>
        <v>5.5497824061716958</v>
      </c>
      <c r="G3" s="46"/>
      <c r="H3" s="46"/>
      <c r="I3" s="46"/>
      <c r="J3" s="164" t="s">
        <v>435</v>
      </c>
      <c r="K3" s="164" t="s">
        <v>435</v>
      </c>
      <c r="L3" s="46"/>
      <c r="M3" s="46"/>
      <c r="N3" s="46"/>
      <c r="O3" s="46"/>
      <c r="P3" s="46"/>
      <c r="Q3" s="170">
        <v>34</v>
      </c>
      <c r="R3" s="224"/>
      <c r="S3" s="167">
        <v>6</v>
      </c>
      <c r="T3" s="167">
        <v>0</v>
      </c>
      <c r="U3" s="158" t="s">
        <v>363</v>
      </c>
      <c r="V3" s="49">
        <v>39467</v>
      </c>
      <c r="W3" s="167"/>
      <c r="X3" s="167"/>
    </row>
    <row r="4" spans="1:24" s="156" customFormat="1" ht="37.5" x14ac:dyDescent="0.3">
      <c r="B4" s="165"/>
      <c r="C4" s="106">
        <v>28109.85185185185</v>
      </c>
      <c r="D4" s="170">
        <v>47.3</v>
      </c>
      <c r="E4" s="170">
        <v>-2.8</v>
      </c>
      <c r="F4" s="46">
        <f t="shared" si="0"/>
        <v>5.5775161204854511</v>
      </c>
      <c r="G4" s="46"/>
      <c r="H4" s="46"/>
      <c r="I4" s="46"/>
      <c r="J4" s="164" t="s">
        <v>435</v>
      </c>
      <c r="K4" s="164"/>
      <c r="L4" s="46"/>
      <c r="M4" s="46"/>
      <c r="N4" s="46"/>
      <c r="O4" s="46"/>
      <c r="P4" s="46"/>
      <c r="Q4" s="170">
        <v>57</v>
      </c>
      <c r="R4" s="224"/>
      <c r="S4" s="167">
        <v>3</v>
      </c>
      <c r="T4" s="167">
        <v>0</v>
      </c>
      <c r="U4" s="158" t="s">
        <v>250</v>
      </c>
      <c r="V4" s="49">
        <v>39280</v>
      </c>
      <c r="W4" s="167"/>
      <c r="X4" s="167"/>
    </row>
    <row r="5" spans="1:24" s="156" customFormat="1" ht="25" x14ac:dyDescent="0.3">
      <c r="B5" s="165"/>
      <c r="C5" s="106">
        <v>28117.892361111109</v>
      </c>
      <c r="D5" s="170">
        <v>46.5</v>
      </c>
      <c r="E5" s="170">
        <v>-2.8</v>
      </c>
      <c r="F5" s="46">
        <f t="shared" si="0"/>
        <v>5.5404609810416696</v>
      </c>
      <c r="G5" s="46"/>
      <c r="H5" s="46"/>
      <c r="I5" s="46"/>
      <c r="J5" s="164" t="s">
        <v>435</v>
      </c>
      <c r="K5" s="164"/>
      <c r="L5" s="46"/>
      <c r="M5" s="46"/>
      <c r="N5" s="46"/>
      <c r="O5" s="46"/>
      <c r="P5" s="46"/>
      <c r="Q5" s="170">
        <v>60</v>
      </c>
      <c r="R5" s="224"/>
      <c r="S5" s="167">
        <v>1</v>
      </c>
      <c r="T5" s="167">
        <v>0</v>
      </c>
      <c r="U5" s="158" t="s">
        <v>251</v>
      </c>
      <c r="V5" s="49">
        <v>39262</v>
      </c>
      <c r="W5" s="167"/>
      <c r="X5" s="167"/>
    </row>
    <row r="6" spans="1:24" s="156" customFormat="1" ht="25" x14ac:dyDescent="0.3">
      <c r="B6" s="165"/>
      <c r="C6" s="106">
        <v>28124.899305555555</v>
      </c>
      <c r="D6" s="170">
        <v>45.7</v>
      </c>
      <c r="E6" s="170">
        <v>-2.7</v>
      </c>
      <c r="F6" s="46">
        <f t="shared" si="0"/>
        <v>5.6027627703000205</v>
      </c>
      <c r="G6" s="46"/>
      <c r="H6" s="46"/>
      <c r="I6" s="46"/>
      <c r="J6" s="164" t="s">
        <v>435</v>
      </c>
      <c r="K6" s="164"/>
      <c r="L6" s="46"/>
      <c r="M6" s="46"/>
      <c r="N6" s="46"/>
      <c r="O6" s="46"/>
      <c r="P6" s="46"/>
      <c r="Q6" s="170">
        <v>64</v>
      </c>
      <c r="R6" s="224"/>
      <c r="S6" s="167">
        <v>1</v>
      </c>
      <c r="T6" s="167">
        <v>0</v>
      </c>
      <c r="U6" s="158" t="s">
        <v>252</v>
      </c>
      <c r="V6" s="49">
        <v>39262</v>
      </c>
      <c r="W6" s="167"/>
      <c r="X6" s="167"/>
    </row>
    <row r="7" spans="1:24" s="156" customFormat="1" ht="100" x14ac:dyDescent="0.3">
      <c r="B7" s="165"/>
      <c r="C7" s="106">
        <v>28137.804861111112</v>
      </c>
      <c r="D7" s="170">
        <v>43.9</v>
      </c>
      <c r="E7" s="170">
        <v>-2.6</v>
      </c>
      <c r="F7" s="46">
        <f t="shared" si="0"/>
        <v>5.6154709193338297</v>
      </c>
      <c r="G7" s="46"/>
      <c r="H7" s="46"/>
      <c r="I7" s="46"/>
      <c r="J7" s="164" t="s">
        <v>435</v>
      </c>
      <c r="K7" s="164"/>
      <c r="L7" s="46"/>
      <c r="M7" s="46"/>
      <c r="N7" s="46"/>
      <c r="O7" s="46"/>
      <c r="P7" s="46"/>
      <c r="Q7" s="170">
        <v>62</v>
      </c>
      <c r="R7" s="224"/>
      <c r="S7" s="167">
        <v>0</v>
      </c>
      <c r="T7" s="167">
        <v>5</v>
      </c>
      <c r="U7" s="158" t="s">
        <v>258</v>
      </c>
      <c r="V7" s="49">
        <v>39280</v>
      </c>
      <c r="W7" s="167"/>
      <c r="X7" s="167"/>
    </row>
    <row r="8" spans="1:24" s="156" customFormat="1" ht="25" x14ac:dyDescent="0.3">
      <c r="B8" s="165"/>
      <c r="C8" s="106">
        <v>28137.826388888891</v>
      </c>
      <c r="D8" s="170">
        <v>43.9</v>
      </c>
      <c r="E8" s="170">
        <v>-2.6</v>
      </c>
      <c r="F8" s="46">
        <f t="shared" si="0"/>
        <v>5.6154709193338297</v>
      </c>
      <c r="G8" s="46"/>
      <c r="H8" s="46"/>
      <c r="I8" s="46"/>
      <c r="J8" s="164" t="s">
        <v>435</v>
      </c>
      <c r="K8" s="164"/>
      <c r="L8" s="46"/>
      <c r="M8" s="46"/>
      <c r="N8" s="46"/>
      <c r="O8" s="46"/>
      <c r="P8" s="46"/>
      <c r="Q8" s="170">
        <v>64</v>
      </c>
      <c r="R8" s="224"/>
      <c r="S8" s="167">
        <v>1</v>
      </c>
      <c r="T8" s="167">
        <v>0</v>
      </c>
      <c r="U8" s="158" t="s">
        <v>253</v>
      </c>
      <c r="V8" s="49">
        <v>39280</v>
      </c>
      <c r="W8" s="167"/>
      <c r="X8" s="167"/>
    </row>
    <row r="9" spans="1:24" s="156" customFormat="1" ht="25" x14ac:dyDescent="0.3">
      <c r="B9" s="165"/>
      <c r="C9" s="258">
        <v>28146.864583333332</v>
      </c>
      <c r="D9" s="170"/>
      <c r="E9" s="170"/>
      <c r="F9" s="46" t="e">
        <f t="shared" si="0"/>
        <v>#DIV/0!</v>
      </c>
      <c r="G9" s="46"/>
      <c r="H9" s="46"/>
      <c r="I9" s="46"/>
      <c r="J9" s="164" t="s">
        <v>435</v>
      </c>
      <c r="K9" s="164" t="s">
        <v>435</v>
      </c>
      <c r="L9" s="46"/>
      <c r="M9" s="46"/>
      <c r="N9" s="46"/>
      <c r="O9" s="46"/>
      <c r="P9" s="46"/>
      <c r="Q9" s="170"/>
      <c r="R9" s="224"/>
      <c r="S9" s="167">
        <v>1</v>
      </c>
      <c r="T9" s="167">
        <v>0</v>
      </c>
      <c r="U9" s="158" t="s">
        <v>254</v>
      </c>
      <c r="V9" s="49">
        <v>39280</v>
      </c>
      <c r="W9" s="167"/>
      <c r="X9" s="167"/>
    </row>
    <row r="10" spans="1:24" s="156" customFormat="1" ht="37.5" x14ac:dyDescent="0.3">
      <c r="B10" s="165"/>
      <c r="C10" s="257">
        <v>28178.806250000001</v>
      </c>
      <c r="D10" s="170">
        <v>38.4</v>
      </c>
      <c r="E10" s="170">
        <v>-2.2999999999999998</v>
      </c>
      <c r="F10" s="46">
        <f t="shared" si="0"/>
        <v>5.624693008568169</v>
      </c>
      <c r="G10" s="46"/>
      <c r="H10" s="46"/>
      <c r="I10" s="46"/>
      <c r="J10" s="164" t="s">
        <v>435</v>
      </c>
      <c r="K10" s="164" t="s">
        <v>435</v>
      </c>
      <c r="L10" s="46"/>
      <c r="M10" s="46"/>
      <c r="N10" s="46"/>
      <c r="O10" s="46"/>
      <c r="P10" s="46"/>
      <c r="Q10" s="170">
        <v>59</v>
      </c>
      <c r="R10" s="224"/>
      <c r="S10" s="167">
        <v>4</v>
      </c>
      <c r="T10" s="167">
        <v>0</v>
      </c>
      <c r="U10" s="158" t="s">
        <v>255</v>
      </c>
      <c r="V10" s="49">
        <v>39280</v>
      </c>
      <c r="W10" s="167"/>
      <c r="X10" s="167"/>
    </row>
    <row r="11" spans="1:24" s="156" customFormat="1" ht="25" x14ac:dyDescent="0.3">
      <c r="B11" s="165"/>
      <c r="C11" s="258">
        <v>28185.836805555555</v>
      </c>
      <c r="D11" s="170">
        <v>37.6</v>
      </c>
      <c r="E11" s="170">
        <v>-2.2999999999999998</v>
      </c>
      <c r="F11" s="46">
        <f t="shared" si="0"/>
        <v>5.5789585851045738</v>
      </c>
      <c r="G11" s="46"/>
      <c r="H11" s="46"/>
      <c r="I11" s="46"/>
      <c r="J11" s="164" t="s">
        <v>435</v>
      </c>
      <c r="K11" s="164" t="s">
        <v>435</v>
      </c>
      <c r="L11" s="46"/>
      <c r="M11" s="46"/>
      <c r="N11" s="46"/>
      <c r="O11" s="46"/>
      <c r="P11" s="46"/>
      <c r="Q11" s="170">
        <v>48</v>
      </c>
      <c r="R11" s="224"/>
      <c r="S11" s="167">
        <v>2</v>
      </c>
      <c r="T11" s="167">
        <v>0</v>
      </c>
      <c r="U11" s="158" t="s">
        <v>256</v>
      </c>
      <c r="V11" s="49">
        <v>39280</v>
      </c>
      <c r="W11" s="167"/>
      <c r="X11" s="167"/>
    </row>
    <row r="12" spans="1:24" s="156" customFormat="1" ht="87.5" x14ac:dyDescent="0.3">
      <c r="B12" s="165"/>
      <c r="C12" s="106">
        <v>28194.858333333334</v>
      </c>
      <c r="D12" s="170">
        <v>36.700000000000003</v>
      </c>
      <c r="E12" s="170">
        <v>-2.2000000000000002</v>
      </c>
      <c r="F12" s="46">
        <f t="shared" si="0"/>
        <v>5.6263295133076214</v>
      </c>
      <c r="G12" s="46"/>
      <c r="H12" s="46"/>
      <c r="I12" s="46"/>
      <c r="J12" s="164" t="s">
        <v>435</v>
      </c>
      <c r="K12" s="164"/>
      <c r="L12" s="46"/>
      <c r="M12" s="46"/>
      <c r="N12" s="46"/>
      <c r="O12" s="46"/>
      <c r="P12" s="46"/>
      <c r="Q12" s="170">
        <v>37</v>
      </c>
      <c r="R12" s="224"/>
      <c r="S12" s="167">
        <v>0</v>
      </c>
      <c r="T12" s="167">
        <v>3</v>
      </c>
      <c r="U12" s="158" t="s">
        <v>257</v>
      </c>
      <c r="V12" s="49">
        <v>39280</v>
      </c>
      <c r="W12" s="167"/>
      <c r="X12" s="167"/>
    </row>
    <row r="13" spans="1:24" s="188" customFormat="1" ht="13" x14ac:dyDescent="0.3">
      <c r="B13" s="189"/>
      <c r="C13" s="190">
        <v>28209.844444444443</v>
      </c>
      <c r="D13" s="191">
        <v>35.299999999999997</v>
      </c>
      <c r="E13" s="191">
        <v>-2.2000000000000002</v>
      </c>
      <c r="F13" s="46">
        <f t="shared" si="0"/>
        <v>5.5418403411963366</v>
      </c>
      <c r="G13" s="46"/>
      <c r="H13" s="46"/>
      <c r="I13" s="46"/>
      <c r="J13" s="164" t="s">
        <v>435</v>
      </c>
      <c r="K13" s="164"/>
      <c r="L13" s="46"/>
      <c r="M13" s="46"/>
      <c r="N13" s="46"/>
      <c r="O13" s="46"/>
      <c r="P13" s="46"/>
      <c r="Q13" s="191">
        <v>32.6</v>
      </c>
      <c r="R13" s="225"/>
      <c r="S13" s="192">
        <v>1</v>
      </c>
      <c r="T13" s="192">
        <v>0</v>
      </c>
      <c r="U13" s="189" t="s">
        <v>245</v>
      </c>
      <c r="V13" s="193">
        <v>39262</v>
      </c>
      <c r="W13" s="192"/>
      <c r="X13" s="192"/>
    </row>
    <row r="14" spans="1:24" s="156" customFormat="1" ht="25" x14ac:dyDescent="0.3">
      <c r="B14" s="165"/>
      <c r="C14" s="106">
        <v>28209.845833333333</v>
      </c>
      <c r="D14" s="170">
        <v>35.299999999999997</v>
      </c>
      <c r="E14" s="170">
        <v>-2.2000000000000002</v>
      </c>
      <c r="F14" s="46">
        <f t="shared" si="0"/>
        <v>5.5418403411963366</v>
      </c>
      <c r="G14" s="46"/>
      <c r="H14" s="46"/>
      <c r="I14" s="46"/>
      <c r="J14" s="164" t="s">
        <v>435</v>
      </c>
      <c r="K14" s="164"/>
      <c r="L14" s="46"/>
      <c r="M14" s="46"/>
      <c r="N14" s="46"/>
      <c r="O14" s="46"/>
      <c r="P14" s="46"/>
      <c r="Q14" s="170">
        <v>32</v>
      </c>
      <c r="R14" s="224"/>
      <c r="S14" s="167">
        <v>2</v>
      </c>
      <c r="T14" s="167">
        <v>0</v>
      </c>
      <c r="U14" s="158" t="s">
        <v>259</v>
      </c>
      <c r="V14" s="49">
        <v>39280</v>
      </c>
      <c r="W14" s="167"/>
      <c r="X14" s="167"/>
    </row>
    <row r="15" spans="1:24" s="156" customFormat="1" ht="13" x14ac:dyDescent="0.3">
      <c r="B15" s="165"/>
      <c r="C15" s="106">
        <v>28209.847222222223</v>
      </c>
      <c r="D15" s="170">
        <v>35.299999999999997</v>
      </c>
      <c r="E15" s="170">
        <v>-2.2000000000000002</v>
      </c>
      <c r="F15" s="46">
        <f t="shared" si="0"/>
        <v>5.5418403411963366</v>
      </c>
      <c r="G15" s="46"/>
      <c r="H15" s="46"/>
      <c r="I15" s="46"/>
      <c r="J15" s="164" t="s">
        <v>435</v>
      </c>
      <c r="K15" s="164"/>
      <c r="L15" s="46"/>
      <c r="M15" s="46"/>
      <c r="N15" s="46"/>
      <c r="O15" s="46"/>
      <c r="P15" s="46"/>
      <c r="Q15" s="170">
        <v>31.8</v>
      </c>
      <c r="R15" s="224"/>
      <c r="S15" s="167">
        <v>1</v>
      </c>
      <c r="T15" s="167">
        <v>0</v>
      </c>
      <c r="U15" s="165" t="s">
        <v>246</v>
      </c>
      <c r="V15" s="49">
        <v>39262</v>
      </c>
      <c r="W15" s="167"/>
      <c r="X15" s="167"/>
    </row>
    <row r="16" spans="1:24" s="156" customFormat="1" ht="13" x14ac:dyDescent="0.3">
      <c r="B16" s="165"/>
      <c r="C16" s="106">
        <v>28412</v>
      </c>
      <c r="D16" s="170">
        <v>41.4</v>
      </c>
      <c r="E16" s="170">
        <v>-2.5</v>
      </c>
      <c r="F16" s="46">
        <f t="shared" si="0"/>
        <v>5.5881012133359969</v>
      </c>
      <c r="G16" s="46"/>
      <c r="H16" s="46"/>
      <c r="I16" s="46"/>
      <c r="J16" s="164" t="s">
        <v>435</v>
      </c>
      <c r="K16" s="164"/>
      <c r="L16" s="46"/>
      <c r="M16" s="46"/>
      <c r="N16" s="46"/>
      <c r="O16" s="46"/>
      <c r="P16" s="46"/>
      <c r="Q16" s="170"/>
      <c r="R16" s="224"/>
      <c r="S16" s="167">
        <v>0</v>
      </c>
      <c r="T16" s="167">
        <v>1</v>
      </c>
      <c r="U16" s="165"/>
      <c r="V16" s="49">
        <v>39262</v>
      </c>
      <c r="W16" s="167"/>
      <c r="X16" s="167"/>
    </row>
    <row r="17" spans="2:24" s="156" customFormat="1" ht="13" x14ac:dyDescent="0.3">
      <c r="B17" s="165"/>
      <c r="C17" s="106">
        <v>28455</v>
      </c>
      <c r="D17" s="170">
        <v>46.4</v>
      </c>
      <c r="E17" s="170">
        <v>-2.7</v>
      </c>
      <c r="F17" s="46">
        <f t="shared" si="0"/>
        <v>5.6357843271873493</v>
      </c>
      <c r="G17" s="46"/>
      <c r="H17" s="46"/>
      <c r="I17" s="46"/>
      <c r="J17" s="164" t="s">
        <v>435</v>
      </c>
      <c r="K17" s="164"/>
      <c r="L17" s="46"/>
      <c r="M17" s="46"/>
      <c r="N17" s="46"/>
      <c r="O17" s="46"/>
      <c r="P17" s="46"/>
      <c r="Q17" s="170"/>
      <c r="R17" s="224"/>
      <c r="S17" s="167">
        <v>0</v>
      </c>
      <c r="T17" s="167">
        <v>1</v>
      </c>
      <c r="U17" s="165"/>
      <c r="V17" s="49">
        <v>39262</v>
      </c>
      <c r="W17" s="167"/>
      <c r="X17" s="167"/>
    </row>
    <row r="18" spans="2:24" s="156" customFormat="1" ht="13" x14ac:dyDescent="0.3">
      <c r="B18" s="165"/>
      <c r="C18" s="106">
        <v>28490</v>
      </c>
      <c r="D18" s="170">
        <v>47.3</v>
      </c>
      <c r="E18" s="170">
        <v>-2.7</v>
      </c>
      <c r="F18" s="46">
        <f t="shared" si="0"/>
        <v>5.6775161204854516</v>
      </c>
      <c r="G18" s="46"/>
      <c r="H18" s="46"/>
      <c r="I18" s="46"/>
      <c r="J18" s="164" t="s">
        <v>435</v>
      </c>
      <c r="K18" s="164"/>
      <c r="L18" s="46"/>
      <c r="M18" s="46"/>
      <c r="N18" s="46"/>
      <c r="O18" s="46"/>
      <c r="P18" s="46"/>
      <c r="Q18" s="170"/>
      <c r="R18" s="224"/>
      <c r="S18" s="167">
        <v>0</v>
      </c>
      <c r="T18" s="167">
        <v>1</v>
      </c>
      <c r="U18" s="165"/>
      <c r="V18" s="49">
        <v>39262</v>
      </c>
      <c r="W18" s="167"/>
      <c r="X18" s="167"/>
    </row>
    <row r="19" spans="2:24" s="156" customFormat="1" ht="13" x14ac:dyDescent="0.3">
      <c r="B19" s="165"/>
      <c r="C19" s="106">
        <v>28512</v>
      </c>
      <c r="D19" s="170">
        <v>45.7</v>
      </c>
      <c r="E19" s="170">
        <v>-2.7</v>
      </c>
      <c r="F19" s="46">
        <f t="shared" si="0"/>
        <v>5.6027627703000205</v>
      </c>
      <c r="G19" s="46"/>
      <c r="H19" s="46"/>
      <c r="I19" s="46"/>
      <c r="J19" s="164" t="s">
        <v>435</v>
      </c>
      <c r="K19" s="164"/>
      <c r="L19" s="46"/>
      <c r="M19" s="46"/>
      <c r="N19" s="46"/>
      <c r="O19" s="46"/>
      <c r="P19" s="46"/>
      <c r="Q19" s="170"/>
      <c r="R19" s="224"/>
      <c r="S19" s="167">
        <v>0</v>
      </c>
      <c r="T19" s="167">
        <v>1</v>
      </c>
      <c r="U19" s="165"/>
      <c r="V19" s="49">
        <v>39262</v>
      </c>
      <c r="W19" s="167"/>
      <c r="X19" s="167"/>
    </row>
    <row r="20" spans="2:24" s="156" customFormat="1" ht="62.5" x14ac:dyDescent="0.3">
      <c r="B20" s="165"/>
      <c r="C20" s="106">
        <v>30137</v>
      </c>
      <c r="D20" s="170"/>
      <c r="E20" s="170"/>
      <c r="F20" s="46" t="e">
        <f t="shared" si="0"/>
        <v>#DIV/0!</v>
      </c>
      <c r="G20" s="46"/>
      <c r="H20" s="46"/>
      <c r="I20" s="46"/>
      <c r="J20" s="164" t="s">
        <v>435</v>
      </c>
      <c r="K20" s="164"/>
      <c r="L20" s="46"/>
      <c r="M20" s="46"/>
      <c r="N20" s="46"/>
      <c r="O20" s="46"/>
      <c r="P20" s="46"/>
      <c r="Q20" s="170"/>
      <c r="R20" s="224"/>
      <c r="S20" s="167">
        <v>0</v>
      </c>
      <c r="T20" s="167">
        <v>2</v>
      </c>
      <c r="U20" s="158" t="s">
        <v>395</v>
      </c>
      <c r="V20" s="49">
        <v>39262</v>
      </c>
      <c r="W20" s="167"/>
      <c r="X20" s="167"/>
    </row>
    <row r="21" spans="2:24" s="156" customFormat="1" ht="212.5" x14ac:dyDescent="0.3">
      <c r="B21" s="165"/>
      <c r="C21" s="258">
        <v>30538</v>
      </c>
      <c r="D21" s="170"/>
      <c r="E21" s="170"/>
      <c r="F21" s="46" t="e">
        <f t="shared" si="0"/>
        <v>#DIV/0!</v>
      </c>
      <c r="G21" s="46"/>
      <c r="H21" s="46"/>
      <c r="I21" s="46"/>
      <c r="J21" s="164" t="s">
        <v>435</v>
      </c>
      <c r="K21" s="164" t="s">
        <v>435</v>
      </c>
      <c r="L21" s="46"/>
      <c r="M21" s="46"/>
      <c r="N21" s="46"/>
      <c r="O21" s="46"/>
      <c r="P21" s="46"/>
      <c r="Q21" s="170"/>
      <c r="R21" s="224"/>
      <c r="S21" s="167">
        <v>6</v>
      </c>
      <c r="T21" s="167">
        <v>0</v>
      </c>
      <c r="U21" s="158" t="s">
        <v>396</v>
      </c>
      <c r="V21" s="49">
        <v>39471</v>
      </c>
      <c r="W21" s="167"/>
      <c r="X21" s="167"/>
    </row>
    <row r="22" spans="2:24" s="156" customFormat="1" ht="50" x14ac:dyDescent="0.3">
      <c r="B22" s="165"/>
      <c r="C22" s="106">
        <v>31767</v>
      </c>
      <c r="D22" s="170"/>
      <c r="E22" s="170"/>
      <c r="F22" s="46" t="e">
        <f t="shared" si="0"/>
        <v>#DIV/0!</v>
      </c>
      <c r="G22" s="46"/>
      <c r="H22" s="46"/>
      <c r="I22" s="46"/>
      <c r="J22" s="164" t="s">
        <v>435</v>
      </c>
      <c r="K22" s="164"/>
      <c r="L22" s="46"/>
      <c r="M22" s="46"/>
      <c r="N22" s="46"/>
      <c r="O22" s="46"/>
      <c r="P22" s="46"/>
      <c r="Q22" s="170"/>
      <c r="R22" s="224"/>
      <c r="S22" s="167">
        <v>1</v>
      </c>
      <c r="T22" s="167">
        <v>0</v>
      </c>
      <c r="U22" s="158" t="s">
        <v>397</v>
      </c>
      <c r="V22" s="49">
        <v>39471</v>
      </c>
      <c r="W22" s="167"/>
      <c r="X22" s="167"/>
    </row>
    <row r="23" spans="2:24" s="156" customFormat="1" ht="50" x14ac:dyDescent="0.3">
      <c r="B23" s="165"/>
      <c r="C23" s="106">
        <v>33251</v>
      </c>
      <c r="D23" s="170"/>
      <c r="E23" s="170"/>
      <c r="F23" s="46" t="e">
        <f t="shared" si="0"/>
        <v>#DIV/0!</v>
      </c>
      <c r="G23" s="46"/>
      <c r="H23" s="46"/>
      <c r="I23" s="46"/>
      <c r="J23" s="164" t="s">
        <v>435</v>
      </c>
      <c r="K23" s="164"/>
      <c r="L23" s="46"/>
      <c r="M23" s="46"/>
      <c r="N23" s="46"/>
      <c r="O23" s="46"/>
      <c r="P23" s="46"/>
      <c r="Q23" s="170"/>
      <c r="R23" s="224"/>
      <c r="S23" s="167">
        <v>1</v>
      </c>
      <c r="T23" s="167">
        <v>0</v>
      </c>
      <c r="U23" s="158" t="s">
        <v>398</v>
      </c>
      <c r="V23" s="49">
        <v>39471</v>
      </c>
      <c r="W23" s="167"/>
      <c r="X23" s="167"/>
    </row>
    <row r="24" spans="2:24" s="156" customFormat="1" ht="50" x14ac:dyDescent="0.3">
      <c r="B24" s="165"/>
      <c r="C24" s="106">
        <v>33251</v>
      </c>
      <c r="D24" s="170"/>
      <c r="E24" s="170"/>
      <c r="F24" s="46" t="e">
        <f t="shared" si="0"/>
        <v>#DIV/0!</v>
      </c>
      <c r="G24" s="46"/>
      <c r="H24" s="46"/>
      <c r="I24" s="46"/>
      <c r="J24" s="164" t="s">
        <v>435</v>
      </c>
      <c r="K24" s="164"/>
      <c r="L24" s="46"/>
      <c r="M24" s="46"/>
      <c r="N24" s="46"/>
      <c r="O24" s="46"/>
      <c r="P24" s="46"/>
      <c r="Q24" s="170"/>
      <c r="R24" s="224"/>
      <c r="S24" s="167">
        <v>0</v>
      </c>
      <c r="T24" s="167">
        <v>2</v>
      </c>
      <c r="U24" s="158" t="s">
        <v>399</v>
      </c>
      <c r="V24" s="49">
        <v>39471</v>
      </c>
      <c r="W24" s="167"/>
      <c r="X24" s="167"/>
    </row>
    <row r="25" spans="2:24" ht="25" x14ac:dyDescent="0.25">
      <c r="B25" s="165"/>
      <c r="C25" s="106">
        <v>33275</v>
      </c>
      <c r="D25" s="170"/>
      <c r="E25" s="170"/>
      <c r="F25" s="46" t="e">
        <f t="shared" si="0"/>
        <v>#DIV/0!</v>
      </c>
      <c r="G25" s="46"/>
      <c r="H25" s="46"/>
      <c r="I25" s="46"/>
      <c r="J25" s="164" t="s">
        <v>435</v>
      </c>
      <c r="K25" s="164"/>
      <c r="L25" s="46"/>
      <c r="M25" s="46"/>
      <c r="N25" s="46"/>
      <c r="O25" s="46"/>
      <c r="P25" s="46"/>
      <c r="Q25" s="170"/>
      <c r="R25" s="224"/>
      <c r="S25" s="167">
        <v>1</v>
      </c>
      <c r="T25" s="167">
        <v>0</v>
      </c>
      <c r="U25" s="158" t="s">
        <v>400</v>
      </c>
      <c r="V25" s="49">
        <v>39471</v>
      </c>
      <c r="W25" s="167"/>
      <c r="X25" s="167"/>
    </row>
    <row r="26" spans="2:24" ht="25" x14ac:dyDescent="0.25">
      <c r="C26" s="106">
        <v>33357</v>
      </c>
      <c r="D26" s="170"/>
      <c r="E26" s="170"/>
      <c r="F26" s="46" t="e">
        <f t="shared" si="0"/>
        <v>#DIV/0!</v>
      </c>
      <c r="G26" s="46"/>
      <c r="H26" s="46"/>
      <c r="I26" s="46"/>
      <c r="J26" s="164" t="s">
        <v>435</v>
      </c>
      <c r="K26" s="164"/>
      <c r="L26" s="46"/>
      <c r="M26" s="46"/>
      <c r="N26" s="46"/>
      <c r="O26" s="46"/>
      <c r="P26" s="46"/>
      <c r="Q26" s="170"/>
      <c r="R26" s="224"/>
      <c r="S26" s="167">
        <v>1</v>
      </c>
      <c r="T26" s="167">
        <v>0</v>
      </c>
      <c r="U26" s="158" t="s">
        <v>400</v>
      </c>
      <c r="V26" s="49">
        <v>39471</v>
      </c>
    </row>
    <row r="27" spans="2:24" ht="62.5" x14ac:dyDescent="0.25">
      <c r="C27" s="106">
        <v>34510</v>
      </c>
      <c r="D27" s="170"/>
      <c r="E27" s="170"/>
      <c r="F27" s="46" t="e">
        <f t="shared" si="0"/>
        <v>#DIV/0!</v>
      </c>
      <c r="G27" s="46"/>
      <c r="H27" s="46"/>
      <c r="I27" s="46"/>
      <c r="J27" s="164" t="s">
        <v>435</v>
      </c>
      <c r="K27" s="164"/>
      <c r="L27" s="46"/>
      <c r="M27" s="46"/>
      <c r="N27" s="46"/>
      <c r="O27" s="46"/>
      <c r="P27" s="46"/>
      <c r="Q27" s="170"/>
      <c r="R27" s="224"/>
      <c r="S27" s="167">
        <v>1</v>
      </c>
      <c r="T27" s="167">
        <v>0</v>
      </c>
      <c r="U27" s="158" t="s">
        <v>388</v>
      </c>
      <c r="V27" s="49">
        <v>39476</v>
      </c>
    </row>
    <row r="28" spans="2:24" ht="50" x14ac:dyDescent="0.25">
      <c r="C28" s="106">
        <v>34512</v>
      </c>
      <c r="D28" s="170"/>
      <c r="E28" s="170"/>
      <c r="F28" s="46" t="e">
        <f t="shared" si="0"/>
        <v>#DIV/0!</v>
      </c>
      <c r="G28" s="46"/>
      <c r="H28" s="46"/>
      <c r="I28" s="46"/>
      <c r="J28" s="164" t="s">
        <v>435</v>
      </c>
      <c r="K28" s="164"/>
      <c r="L28" s="46"/>
      <c r="M28" s="46"/>
      <c r="N28" s="46"/>
      <c r="O28" s="46"/>
      <c r="P28" s="46"/>
      <c r="Q28" s="170"/>
      <c r="R28" s="224"/>
      <c r="S28" s="167">
        <v>1</v>
      </c>
      <c r="T28" s="167">
        <v>0</v>
      </c>
      <c r="U28" s="158" t="s">
        <v>387</v>
      </c>
      <c r="V28" s="49">
        <v>39476</v>
      </c>
    </row>
    <row r="29" spans="2:24" s="156" customFormat="1" ht="50" x14ac:dyDescent="0.3">
      <c r="B29" s="105"/>
      <c r="C29" s="257">
        <v>34525</v>
      </c>
      <c r="D29" s="170"/>
      <c r="E29" s="170"/>
      <c r="F29" s="46" t="e">
        <f t="shared" si="0"/>
        <v>#DIV/0!</v>
      </c>
      <c r="G29" s="46"/>
      <c r="H29" s="46"/>
      <c r="I29" s="46"/>
      <c r="J29" s="164" t="s">
        <v>435</v>
      </c>
      <c r="K29" s="164" t="s">
        <v>435</v>
      </c>
      <c r="L29" s="46"/>
      <c r="M29" s="46"/>
      <c r="N29" s="46"/>
      <c r="O29" s="46"/>
      <c r="P29" s="46"/>
      <c r="Q29" s="170"/>
      <c r="R29" s="224"/>
      <c r="S29" s="167">
        <v>1</v>
      </c>
      <c r="T29" s="167">
        <v>0</v>
      </c>
      <c r="U29" s="158" t="s">
        <v>386</v>
      </c>
      <c r="V29" s="49">
        <v>39476</v>
      </c>
      <c r="W29" s="109"/>
      <c r="X29" s="109"/>
    </row>
    <row r="30" spans="2:24" s="156" customFormat="1" ht="112.5" x14ac:dyDescent="0.3">
      <c r="B30" s="165"/>
      <c r="C30" s="106">
        <v>34526</v>
      </c>
      <c r="D30" s="170"/>
      <c r="E30" s="170"/>
      <c r="F30" s="46" t="e">
        <f t="shared" si="0"/>
        <v>#DIV/0!</v>
      </c>
      <c r="G30" s="46"/>
      <c r="H30" s="46"/>
      <c r="I30" s="46"/>
      <c r="J30" s="164" t="s">
        <v>435</v>
      </c>
      <c r="K30" s="164"/>
      <c r="L30" s="46"/>
      <c r="M30" s="46"/>
      <c r="N30" s="46"/>
      <c r="O30" s="46"/>
      <c r="P30" s="46"/>
      <c r="Q30" s="170"/>
      <c r="R30" s="224"/>
      <c r="S30" s="167">
        <v>0</v>
      </c>
      <c r="T30" s="167">
        <v>7</v>
      </c>
      <c r="U30" s="158" t="s">
        <v>385</v>
      </c>
      <c r="V30" s="49">
        <v>39476</v>
      </c>
      <c r="W30" s="167"/>
      <c r="X30" s="167"/>
    </row>
    <row r="31" spans="2:24" s="156" customFormat="1" ht="50" x14ac:dyDescent="0.3">
      <c r="B31" s="165"/>
      <c r="C31" s="106">
        <v>34526</v>
      </c>
      <c r="D31" s="170"/>
      <c r="E31" s="170"/>
      <c r="F31" s="46" t="e">
        <f t="shared" si="0"/>
        <v>#DIV/0!</v>
      </c>
      <c r="G31" s="46"/>
      <c r="H31" s="46"/>
      <c r="I31" s="46"/>
      <c r="J31" s="164" t="s">
        <v>435</v>
      </c>
      <c r="K31" s="164"/>
      <c r="L31" s="46"/>
      <c r="M31" s="46"/>
      <c r="N31" s="46"/>
      <c r="O31" s="46"/>
      <c r="P31" s="46"/>
      <c r="Q31" s="170"/>
      <c r="R31" s="224"/>
      <c r="S31" s="167">
        <v>1</v>
      </c>
      <c r="T31" s="167">
        <v>0</v>
      </c>
      <c r="U31" s="158" t="s">
        <v>389</v>
      </c>
      <c r="V31" s="49">
        <v>39476</v>
      </c>
      <c r="W31" s="167"/>
      <c r="X31" s="167"/>
    </row>
    <row r="32" spans="2:24" s="156" customFormat="1" ht="87.5" x14ac:dyDescent="0.3">
      <c r="B32" s="165"/>
      <c r="C32" s="106">
        <v>34529</v>
      </c>
      <c r="D32" s="170"/>
      <c r="E32" s="170"/>
      <c r="F32" s="46" t="e">
        <f t="shared" si="0"/>
        <v>#DIV/0!</v>
      </c>
      <c r="G32" s="46"/>
      <c r="H32" s="46"/>
      <c r="I32" s="46"/>
      <c r="J32" s="164" t="s">
        <v>435</v>
      </c>
      <c r="K32" s="164"/>
      <c r="L32" s="46"/>
      <c r="M32" s="46"/>
      <c r="N32" s="46"/>
      <c r="O32" s="46"/>
      <c r="P32" s="46"/>
      <c r="Q32" s="170"/>
      <c r="R32" s="224"/>
      <c r="S32" s="167">
        <v>0</v>
      </c>
      <c r="T32" s="167">
        <v>4</v>
      </c>
      <c r="U32" s="158" t="s">
        <v>366</v>
      </c>
      <c r="V32" s="49">
        <v>39476</v>
      </c>
      <c r="W32" s="167"/>
      <c r="X32" s="167"/>
    </row>
    <row r="33" spans="2:24" s="156" customFormat="1" ht="50" x14ac:dyDescent="0.3">
      <c r="B33" s="165"/>
      <c r="C33" s="106">
        <v>34529</v>
      </c>
      <c r="D33" s="170"/>
      <c r="E33" s="170"/>
      <c r="F33" s="46" t="e">
        <f t="shared" si="0"/>
        <v>#DIV/0!</v>
      </c>
      <c r="G33" s="46"/>
      <c r="H33" s="46"/>
      <c r="I33" s="46"/>
      <c r="J33" s="164" t="s">
        <v>435</v>
      </c>
      <c r="K33" s="164"/>
      <c r="L33" s="46"/>
      <c r="M33" s="46"/>
      <c r="N33" s="46"/>
      <c r="O33" s="46"/>
      <c r="P33" s="46"/>
      <c r="Q33" s="170"/>
      <c r="R33" s="224"/>
      <c r="S33" s="167"/>
      <c r="T33" s="167"/>
      <c r="U33" s="158" t="s">
        <v>390</v>
      </c>
      <c r="V33" s="49">
        <v>39476</v>
      </c>
      <c r="W33" s="167"/>
      <c r="X33" s="167"/>
    </row>
    <row r="34" spans="2:24" s="156" customFormat="1" ht="75" x14ac:dyDescent="0.3">
      <c r="B34" s="165"/>
      <c r="C34" s="106">
        <v>34531</v>
      </c>
      <c r="D34" s="170"/>
      <c r="E34" s="170"/>
      <c r="F34" s="46" t="e">
        <f t="shared" ref="F34:F65" si="1">-LOG((1/(D34^2))*(2.511^(-E34)))/LOG(2.511)</f>
        <v>#DIV/0!</v>
      </c>
      <c r="G34" s="46"/>
      <c r="H34" s="46"/>
      <c r="I34" s="46"/>
      <c r="J34" s="164" t="s">
        <v>435</v>
      </c>
      <c r="K34" s="164"/>
      <c r="L34" s="46"/>
      <c r="M34" s="46"/>
      <c r="N34" s="46"/>
      <c r="O34" s="46"/>
      <c r="P34" s="46"/>
      <c r="Q34" s="170"/>
      <c r="R34" s="224"/>
      <c r="S34" s="167">
        <v>0</v>
      </c>
      <c r="T34" s="167">
        <v>4</v>
      </c>
      <c r="U34" s="158" t="s">
        <v>365</v>
      </c>
      <c r="V34" s="49">
        <v>39476</v>
      </c>
      <c r="W34" s="167"/>
      <c r="X34" s="167"/>
    </row>
    <row r="35" spans="2:24" s="156" customFormat="1" ht="75" x14ac:dyDescent="0.3">
      <c r="B35" s="165"/>
      <c r="C35" s="106">
        <v>34531</v>
      </c>
      <c r="D35" s="170"/>
      <c r="E35" s="170"/>
      <c r="F35" s="46" t="e">
        <f t="shared" si="1"/>
        <v>#DIV/0!</v>
      </c>
      <c r="G35" s="46"/>
      <c r="H35" s="46"/>
      <c r="I35" s="46"/>
      <c r="J35" s="164" t="s">
        <v>435</v>
      </c>
      <c r="K35" s="164"/>
      <c r="L35" s="46"/>
      <c r="M35" s="46"/>
      <c r="N35" s="46"/>
      <c r="O35" s="46"/>
      <c r="P35" s="46"/>
      <c r="Q35" s="170"/>
      <c r="R35" s="224"/>
      <c r="S35" s="167">
        <v>1</v>
      </c>
      <c r="T35" s="167">
        <v>0</v>
      </c>
      <c r="U35" s="158" t="s">
        <v>367</v>
      </c>
      <c r="V35" s="49">
        <v>39476</v>
      </c>
      <c r="W35" s="167"/>
      <c r="X35" s="167"/>
    </row>
    <row r="36" spans="2:24" s="156" customFormat="1" ht="75" x14ac:dyDescent="0.3">
      <c r="B36" s="165"/>
      <c r="C36" s="106">
        <v>34533</v>
      </c>
      <c r="D36" s="170"/>
      <c r="E36" s="170"/>
      <c r="F36" s="46" t="e">
        <f t="shared" si="1"/>
        <v>#DIV/0!</v>
      </c>
      <c r="G36" s="46"/>
      <c r="H36" s="46"/>
      <c r="I36" s="46"/>
      <c r="J36" s="164" t="s">
        <v>435</v>
      </c>
      <c r="K36" s="164"/>
      <c r="L36" s="46"/>
      <c r="M36" s="46"/>
      <c r="N36" s="46"/>
      <c r="O36" s="46"/>
      <c r="P36" s="46"/>
      <c r="Q36" s="170"/>
      <c r="R36" s="224"/>
      <c r="S36" s="167">
        <v>2</v>
      </c>
      <c r="T36" s="167">
        <v>0</v>
      </c>
      <c r="U36" s="158" t="s">
        <v>368</v>
      </c>
      <c r="V36" s="49">
        <v>39476</v>
      </c>
      <c r="W36" s="167"/>
      <c r="X36" s="167"/>
    </row>
    <row r="37" spans="2:24" s="156" customFormat="1" ht="75" x14ac:dyDescent="0.3">
      <c r="B37" s="165"/>
      <c r="C37" s="106">
        <v>34533</v>
      </c>
      <c r="D37" s="170"/>
      <c r="E37" s="170"/>
      <c r="F37" s="46" t="e">
        <f t="shared" si="1"/>
        <v>#DIV/0!</v>
      </c>
      <c r="G37" s="46"/>
      <c r="H37" s="46"/>
      <c r="I37" s="46"/>
      <c r="J37" s="164" t="s">
        <v>435</v>
      </c>
      <c r="K37" s="164"/>
      <c r="L37" s="46"/>
      <c r="M37" s="46"/>
      <c r="N37" s="46"/>
      <c r="O37" s="46"/>
      <c r="P37" s="46"/>
      <c r="Q37" s="170"/>
      <c r="R37" s="224"/>
      <c r="S37" s="167">
        <v>0</v>
      </c>
      <c r="T37" s="167">
        <v>4</v>
      </c>
      <c r="U37" s="158" t="s">
        <v>369</v>
      </c>
      <c r="V37" s="49">
        <v>39476</v>
      </c>
      <c r="W37" s="167"/>
      <c r="X37" s="167"/>
    </row>
    <row r="38" spans="2:24" s="156" customFormat="1" ht="62.5" x14ac:dyDescent="0.3">
      <c r="B38" s="165"/>
      <c r="C38" s="106">
        <v>34535</v>
      </c>
      <c r="D38" s="170"/>
      <c r="E38" s="170"/>
      <c r="F38" s="46" t="e">
        <f t="shared" si="1"/>
        <v>#DIV/0!</v>
      </c>
      <c r="G38" s="46"/>
      <c r="H38" s="46"/>
      <c r="I38" s="46"/>
      <c r="J38" s="164" t="s">
        <v>435</v>
      </c>
      <c r="K38" s="164"/>
      <c r="L38" s="46"/>
      <c r="M38" s="46"/>
      <c r="N38" s="46"/>
      <c r="O38" s="46"/>
      <c r="P38" s="46"/>
      <c r="Q38" s="170"/>
      <c r="R38" s="224"/>
      <c r="S38" s="167">
        <v>1</v>
      </c>
      <c r="T38" s="167">
        <v>0</v>
      </c>
      <c r="U38" s="158" t="s">
        <v>370</v>
      </c>
      <c r="V38" s="49">
        <v>39476</v>
      </c>
      <c r="W38" s="167"/>
      <c r="X38" s="167"/>
    </row>
    <row r="39" spans="2:24" s="156" customFormat="1" ht="112.5" x14ac:dyDescent="0.3">
      <c r="B39" s="165"/>
      <c r="C39" s="106">
        <v>34536</v>
      </c>
      <c r="D39" s="170"/>
      <c r="E39" s="170"/>
      <c r="F39" s="46" t="e">
        <f t="shared" si="1"/>
        <v>#DIV/0!</v>
      </c>
      <c r="G39" s="46"/>
      <c r="H39" s="46"/>
      <c r="I39" s="46"/>
      <c r="J39" s="164" t="s">
        <v>435</v>
      </c>
      <c r="K39" s="164"/>
      <c r="L39" s="46"/>
      <c r="M39" s="46"/>
      <c r="N39" s="46"/>
      <c r="O39" s="46"/>
      <c r="P39" s="46"/>
      <c r="Q39" s="170"/>
      <c r="R39" s="224"/>
      <c r="S39" s="167">
        <v>4</v>
      </c>
      <c r="T39" s="167">
        <v>0</v>
      </c>
      <c r="U39" s="158" t="s">
        <v>372</v>
      </c>
      <c r="V39" s="49">
        <v>39476</v>
      </c>
      <c r="W39" s="167"/>
      <c r="X39" s="167"/>
    </row>
    <row r="40" spans="2:24" s="156" customFormat="1" ht="62.5" x14ac:dyDescent="0.3">
      <c r="B40" s="165"/>
      <c r="C40" s="106">
        <v>34536</v>
      </c>
      <c r="D40" s="170"/>
      <c r="E40" s="170"/>
      <c r="F40" s="46" t="e">
        <f t="shared" si="1"/>
        <v>#DIV/0!</v>
      </c>
      <c r="G40" s="46"/>
      <c r="H40" s="46"/>
      <c r="I40" s="46"/>
      <c r="J40" s="164" t="s">
        <v>435</v>
      </c>
      <c r="K40" s="164"/>
      <c r="L40" s="46"/>
      <c r="M40" s="46"/>
      <c r="N40" s="46"/>
      <c r="O40" s="46"/>
      <c r="P40" s="46"/>
      <c r="Q40" s="170"/>
      <c r="R40" s="224"/>
      <c r="S40" s="167">
        <v>0</v>
      </c>
      <c r="T40" s="167">
        <v>5</v>
      </c>
      <c r="U40" s="158" t="s">
        <v>371</v>
      </c>
      <c r="V40" s="49">
        <v>39476</v>
      </c>
      <c r="W40" s="167"/>
      <c r="X40" s="167"/>
    </row>
    <row r="41" spans="2:24" s="156" customFormat="1" ht="100" x14ac:dyDescent="0.3">
      <c r="B41" s="165"/>
      <c r="C41" s="106">
        <v>34543</v>
      </c>
      <c r="D41" s="170"/>
      <c r="E41" s="170"/>
      <c r="F41" s="46" t="e">
        <f t="shared" si="1"/>
        <v>#DIV/0!</v>
      </c>
      <c r="G41" s="46"/>
      <c r="H41" s="46"/>
      <c r="I41" s="46"/>
      <c r="J41" s="164" t="s">
        <v>435</v>
      </c>
      <c r="K41" s="164"/>
      <c r="L41" s="46"/>
      <c r="M41" s="46"/>
      <c r="N41" s="46"/>
      <c r="O41" s="46"/>
      <c r="P41" s="46"/>
      <c r="Q41" s="170"/>
      <c r="R41" s="224"/>
      <c r="S41" s="167">
        <v>2</v>
      </c>
      <c r="T41" s="167">
        <v>0</v>
      </c>
      <c r="U41" s="158" t="s">
        <v>374</v>
      </c>
      <c r="V41" s="49">
        <v>39476</v>
      </c>
      <c r="W41" s="167"/>
      <c r="X41" s="167"/>
    </row>
    <row r="42" spans="2:24" s="156" customFormat="1" ht="75" x14ac:dyDescent="0.3">
      <c r="B42" s="165"/>
      <c r="C42" s="106">
        <v>34543</v>
      </c>
      <c r="D42" s="170"/>
      <c r="E42" s="170"/>
      <c r="F42" s="46" t="e">
        <f t="shared" si="1"/>
        <v>#DIV/0!</v>
      </c>
      <c r="G42" s="46"/>
      <c r="H42" s="46"/>
      <c r="I42" s="46"/>
      <c r="J42" s="164" t="s">
        <v>435</v>
      </c>
      <c r="K42" s="164"/>
      <c r="L42" s="46"/>
      <c r="M42" s="46"/>
      <c r="N42" s="46"/>
      <c r="O42" s="46"/>
      <c r="P42" s="46"/>
      <c r="Q42" s="170"/>
      <c r="R42" s="224"/>
      <c r="S42" s="167">
        <v>0</v>
      </c>
      <c r="T42" s="167">
        <v>9</v>
      </c>
      <c r="U42" s="158" t="s">
        <v>373</v>
      </c>
      <c r="V42" s="49">
        <v>39476</v>
      </c>
      <c r="W42" s="167"/>
      <c r="X42" s="167"/>
    </row>
    <row r="43" spans="2:24" s="156" customFormat="1" ht="62.5" x14ac:dyDescent="0.3">
      <c r="B43" s="165"/>
      <c r="C43" s="106">
        <v>34546</v>
      </c>
      <c r="D43" s="170"/>
      <c r="E43" s="170"/>
      <c r="F43" s="46" t="e">
        <f t="shared" si="1"/>
        <v>#DIV/0!</v>
      </c>
      <c r="G43" s="46"/>
      <c r="H43" s="46"/>
      <c r="I43" s="46"/>
      <c r="J43" s="164" t="s">
        <v>435</v>
      </c>
      <c r="K43" s="164"/>
      <c r="L43" s="46"/>
      <c r="M43" s="46"/>
      <c r="N43" s="46"/>
      <c r="O43" s="46"/>
      <c r="P43" s="46"/>
      <c r="Q43" s="170"/>
      <c r="R43" s="224"/>
      <c r="S43" s="167">
        <v>1</v>
      </c>
      <c r="T43" s="167">
        <v>0</v>
      </c>
      <c r="U43" s="158" t="s">
        <v>375</v>
      </c>
      <c r="V43" s="49">
        <v>39476</v>
      </c>
      <c r="W43" s="167"/>
      <c r="X43" s="167"/>
    </row>
    <row r="44" spans="2:24" s="156" customFormat="1" ht="50" x14ac:dyDescent="0.3">
      <c r="B44" s="165"/>
      <c r="C44" s="106">
        <v>34546</v>
      </c>
      <c r="D44" s="170"/>
      <c r="E44" s="170"/>
      <c r="F44" s="46" t="e">
        <f t="shared" si="1"/>
        <v>#DIV/0!</v>
      </c>
      <c r="G44" s="46"/>
      <c r="H44" s="46"/>
      <c r="I44" s="46"/>
      <c r="J44" s="164" t="s">
        <v>435</v>
      </c>
      <c r="K44" s="164"/>
      <c r="L44" s="46"/>
      <c r="M44" s="46"/>
      <c r="N44" s="46"/>
      <c r="O44" s="46"/>
      <c r="P44" s="46"/>
      <c r="Q44" s="170"/>
      <c r="R44" s="224"/>
      <c r="S44" s="167">
        <v>0</v>
      </c>
      <c r="T44" s="167">
        <v>4</v>
      </c>
      <c r="U44" s="158" t="s">
        <v>376</v>
      </c>
      <c r="V44" s="49">
        <v>39476</v>
      </c>
      <c r="W44" s="167"/>
      <c r="X44" s="167"/>
    </row>
    <row r="45" spans="2:24" s="156" customFormat="1" ht="62.5" x14ac:dyDescent="0.3">
      <c r="B45" s="165"/>
      <c r="C45" s="106">
        <v>34573</v>
      </c>
      <c r="D45" s="170"/>
      <c r="E45" s="170"/>
      <c r="F45" s="46" t="e">
        <f t="shared" si="1"/>
        <v>#DIV/0!</v>
      </c>
      <c r="G45" s="46"/>
      <c r="H45" s="46"/>
      <c r="I45" s="46"/>
      <c r="J45" s="164" t="s">
        <v>435</v>
      </c>
      <c r="K45" s="164"/>
      <c r="L45" s="46"/>
      <c r="M45" s="46"/>
      <c r="N45" s="46"/>
      <c r="O45" s="46"/>
      <c r="P45" s="46"/>
      <c r="Q45" s="170"/>
      <c r="R45" s="224"/>
      <c r="S45" s="167">
        <v>1</v>
      </c>
      <c r="T45" s="167">
        <v>0</v>
      </c>
      <c r="U45" s="158" t="s">
        <v>377</v>
      </c>
      <c r="V45" s="49">
        <v>39476</v>
      </c>
      <c r="W45" s="167"/>
      <c r="X45" s="167"/>
    </row>
    <row r="46" spans="2:24" s="156" customFormat="1" ht="62.5" x14ac:dyDescent="0.3">
      <c r="B46" s="165"/>
      <c r="C46" s="106">
        <v>34840</v>
      </c>
      <c r="D46" s="170"/>
      <c r="E46" s="170"/>
      <c r="F46" s="46" t="e">
        <f t="shared" si="1"/>
        <v>#DIV/0!</v>
      </c>
      <c r="G46" s="46"/>
      <c r="H46" s="46"/>
      <c r="I46" s="46"/>
      <c r="J46" s="164" t="s">
        <v>435</v>
      </c>
      <c r="K46" s="164"/>
      <c r="L46" s="46"/>
      <c r="M46" s="46"/>
      <c r="N46" s="46"/>
      <c r="O46" s="46"/>
      <c r="P46" s="46"/>
      <c r="Q46" s="170"/>
      <c r="R46" s="224"/>
      <c r="S46" s="167">
        <v>0</v>
      </c>
      <c r="T46" s="167">
        <v>5</v>
      </c>
      <c r="U46" s="158" t="s">
        <v>401</v>
      </c>
      <c r="V46" s="49">
        <v>39471</v>
      </c>
      <c r="W46" s="167"/>
      <c r="X46" s="167"/>
    </row>
    <row r="47" spans="2:24" s="156" customFormat="1" ht="100" x14ac:dyDescent="0.3">
      <c r="B47" s="165"/>
      <c r="C47" s="106">
        <v>34840</v>
      </c>
      <c r="D47" s="170"/>
      <c r="E47" s="170"/>
      <c r="F47" s="46" t="e">
        <f t="shared" si="1"/>
        <v>#DIV/0!</v>
      </c>
      <c r="G47" s="46"/>
      <c r="H47" s="46"/>
      <c r="I47" s="46"/>
      <c r="J47" s="164" t="s">
        <v>435</v>
      </c>
      <c r="K47" s="164"/>
      <c r="L47" s="46"/>
      <c r="M47" s="46"/>
      <c r="N47" s="46"/>
      <c r="O47" s="46"/>
      <c r="P47" s="46"/>
      <c r="Q47" s="170"/>
      <c r="R47" s="224"/>
      <c r="S47" s="167">
        <v>2</v>
      </c>
      <c r="T47" s="167">
        <v>0</v>
      </c>
      <c r="U47" s="158" t="s">
        <v>402</v>
      </c>
      <c r="V47" s="49">
        <v>39471</v>
      </c>
      <c r="W47" s="167"/>
      <c r="X47" s="167"/>
    </row>
    <row r="48" spans="2:24" s="156" customFormat="1" ht="137.5" x14ac:dyDescent="0.3">
      <c r="B48" s="165"/>
      <c r="C48" s="258">
        <v>34898</v>
      </c>
      <c r="D48" s="170"/>
      <c r="E48" s="170"/>
      <c r="F48" s="46" t="e">
        <f t="shared" si="1"/>
        <v>#DIV/0!</v>
      </c>
      <c r="G48" s="46"/>
      <c r="H48" s="46"/>
      <c r="I48" s="46"/>
      <c r="J48" s="164" t="s">
        <v>435</v>
      </c>
      <c r="K48" s="164" t="s">
        <v>435</v>
      </c>
      <c r="L48" s="46"/>
      <c r="M48" s="46"/>
      <c r="N48" s="46"/>
      <c r="O48" s="46"/>
      <c r="P48" s="46"/>
      <c r="Q48" s="170"/>
      <c r="R48" s="224"/>
      <c r="S48" s="167">
        <v>1</v>
      </c>
      <c r="T48" s="167">
        <v>0</v>
      </c>
      <c r="U48" s="158" t="s">
        <v>403</v>
      </c>
      <c r="V48" s="49">
        <v>39262</v>
      </c>
      <c r="W48" s="167"/>
      <c r="X48" s="167"/>
    </row>
    <row r="49" spans="2:24" s="156" customFormat="1" ht="112.5" x14ac:dyDescent="0.3">
      <c r="B49" s="165"/>
      <c r="C49" s="106">
        <v>34899</v>
      </c>
      <c r="D49" s="170"/>
      <c r="E49" s="170"/>
      <c r="F49" s="46" t="e">
        <f t="shared" si="1"/>
        <v>#DIV/0!</v>
      </c>
      <c r="G49" s="46"/>
      <c r="H49" s="46"/>
      <c r="I49" s="46"/>
      <c r="J49" s="164" t="s">
        <v>435</v>
      </c>
      <c r="K49" s="164"/>
      <c r="L49" s="46"/>
      <c r="M49" s="46"/>
      <c r="N49" s="46"/>
      <c r="O49" s="46"/>
      <c r="P49" s="46"/>
      <c r="Q49" s="170"/>
      <c r="R49" s="224"/>
      <c r="S49" s="167">
        <v>1</v>
      </c>
      <c r="T49" s="167">
        <v>0</v>
      </c>
      <c r="U49" s="158" t="s">
        <v>404</v>
      </c>
      <c r="V49" s="49">
        <v>39262</v>
      </c>
      <c r="W49" s="167"/>
      <c r="X49" s="167"/>
    </row>
    <row r="50" spans="2:24" s="156" customFormat="1" ht="62.5" x14ac:dyDescent="0.3">
      <c r="B50" s="165"/>
      <c r="C50" s="106">
        <v>35284</v>
      </c>
      <c r="D50" s="170"/>
      <c r="E50" s="170"/>
      <c r="F50" s="46" t="e">
        <f t="shared" si="1"/>
        <v>#DIV/0!</v>
      </c>
      <c r="G50" s="46"/>
      <c r="H50" s="46"/>
      <c r="I50" s="46"/>
      <c r="J50" s="164" t="s">
        <v>435</v>
      </c>
      <c r="K50" s="164"/>
      <c r="L50" s="46"/>
      <c r="M50" s="46"/>
      <c r="N50" s="46"/>
      <c r="O50" s="46"/>
      <c r="P50" s="46"/>
      <c r="Q50" s="170"/>
      <c r="R50" s="224"/>
      <c r="S50" s="167">
        <v>0</v>
      </c>
      <c r="T50" s="167">
        <v>2</v>
      </c>
      <c r="U50" s="158" t="s">
        <v>394</v>
      </c>
      <c r="V50" s="49">
        <v>39262</v>
      </c>
      <c r="W50" s="167"/>
      <c r="X50" s="167"/>
    </row>
    <row r="51" spans="2:24" s="156" customFormat="1" ht="62.5" x14ac:dyDescent="0.3">
      <c r="B51" s="165"/>
      <c r="C51" s="106">
        <v>36086</v>
      </c>
      <c r="D51" s="170"/>
      <c r="E51" s="170"/>
      <c r="F51" s="46" t="e">
        <f t="shared" si="1"/>
        <v>#DIV/0!</v>
      </c>
      <c r="G51" s="46"/>
      <c r="H51" s="46"/>
      <c r="I51" s="46"/>
      <c r="J51" s="164" t="s">
        <v>435</v>
      </c>
      <c r="K51" s="164"/>
      <c r="L51" s="46"/>
      <c r="M51" s="46"/>
      <c r="N51" s="46"/>
      <c r="O51" s="46"/>
      <c r="P51" s="46"/>
      <c r="Q51" s="170"/>
      <c r="R51" s="224"/>
      <c r="S51" s="167">
        <v>0</v>
      </c>
      <c r="T51" s="167">
        <v>6</v>
      </c>
      <c r="U51" s="158" t="s">
        <v>393</v>
      </c>
      <c r="V51" s="49">
        <v>39471</v>
      </c>
      <c r="W51" s="167"/>
      <c r="X51" s="167"/>
    </row>
    <row r="52" spans="2:24" s="156" customFormat="1" ht="62.5" x14ac:dyDescent="0.3">
      <c r="B52" s="165"/>
      <c r="C52" s="106">
        <v>36467</v>
      </c>
      <c r="D52" s="170"/>
      <c r="E52" s="170"/>
      <c r="F52" s="46" t="e">
        <f t="shared" si="1"/>
        <v>#DIV/0!</v>
      </c>
      <c r="G52" s="46"/>
      <c r="H52" s="46"/>
      <c r="I52" s="46"/>
      <c r="J52" s="164" t="s">
        <v>435</v>
      </c>
      <c r="K52" s="164"/>
      <c r="L52" s="46"/>
      <c r="M52" s="46"/>
      <c r="N52" s="46"/>
      <c r="O52" s="46"/>
      <c r="P52" s="46"/>
      <c r="Q52" s="170"/>
      <c r="R52" s="224"/>
      <c r="S52" s="167">
        <v>0</v>
      </c>
      <c r="T52" s="167">
        <v>1</v>
      </c>
      <c r="U52" s="158" t="s">
        <v>391</v>
      </c>
      <c r="V52" s="49">
        <v>39471</v>
      </c>
      <c r="W52" s="167"/>
      <c r="X52" s="167"/>
    </row>
    <row r="53" spans="2:24" s="156" customFormat="1" ht="62.5" x14ac:dyDescent="0.3">
      <c r="B53" s="165"/>
      <c r="C53" s="106">
        <v>36470</v>
      </c>
      <c r="D53" s="170"/>
      <c r="E53" s="170"/>
      <c r="F53" s="46" t="e">
        <f t="shared" si="1"/>
        <v>#DIV/0!</v>
      </c>
      <c r="G53" s="46"/>
      <c r="H53" s="46"/>
      <c r="I53" s="46"/>
      <c r="J53" s="164" t="s">
        <v>435</v>
      </c>
      <c r="K53" s="164"/>
      <c r="L53" s="46"/>
      <c r="M53" s="46"/>
      <c r="N53" s="46"/>
      <c r="O53" s="46"/>
      <c r="P53" s="46"/>
      <c r="Q53" s="170"/>
      <c r="R53" s="224"/>
      <c r="S53" s="167">
        <v>0</v>
      </c>
      <c r="T53" s="167">
        <v>1</v>
      </c>
      <c r="U53" s="158" t="s">
        <v>392</v>
      </c>
      <c r="V53" s="49">
        <v>39471</v>
      </c>
      <c r="W53" s="167"/>
      <c r="X53" s="167"/>
    </row>
    <row r="54" spans="2:24" s="156" customFormat="1" ht="25" x14ac:dyDescent="0.3">
      <c r="B54" s="165"/>
      <c r="C54" s="106">
        <v>37575</v>
      </c>
      <c r="D54" s="170"/>
      <c r="E54" s="170"/>
      <c r="F54" s="46" t="e">
        <f t="shared" si="1"/>
        <v>#DIV/0!</v>
      </c>
      <c r="G54" s="46"/>
      <c r="H54" s="46"/>
      <c r="I54" s="46"/>
      <c r="J54" s="164" t="s">
        <v>435</v>
      </c>
      <c r="K54" s="164"/>
      <c r="L54" s="46"/>
      <c r="M54" s="46"/>
      <c r="N54" s="46"/>
      <c r="O54" s="46"/>
      <c r="P54" s="46"/>
      <c r="Q54" s="170"/>
      <c r="R54" s="224"/>
      <c r="S54" s="167">
        <v>0</v>
      </c>
      <c r="T54" s="167">
        <v>1</v>
      </c>
      <c r="U54" s="158" t="s">
        <v>244</v>
      </c>
      <c r="V54" s="49">
        <v>39262</v>
      </c>
      <c r="W54" s="167"/>
      <c r="X54" s="167"/>
    </row>
    <row r="55" spans="2:24" s="156" customFormat="1" ht="110.25" customHeight="1" x14ac:dyDescent="0.3">
      <c r="B55" s="157"/>
      <c r="C55" s="106">
        <v>38408.25</v>
      </c>
      <c r="D55" s="46">
        <v>42</v>
      </c>
      <c r="E55" s="46">
        <v>-2.4</v>
      </c>
      <c r="F55" s="46">
        <f t="shared" si="1"/>
        <v>5.7193579378672705</v>
      </c>
      <c r="G55" s="46">
        <v>333</v>
      </c>
      <c r="H55" s="46">
        <v>351</v>
      </c>
      <c r="I55" s="46">
        <v>14</v>
      </c>
      <c r="J55" s="164" t="s">
        <v>435</v>
      </c>
      <c r="K55" s="164"/>
      <c r="L55" s="46"/>
      <c r="M55" s="46"/>
      <c r="N55" s="46"/>
      <c r="O55" s="46"/>
      <c r="P55" s="46"/>
      <c r="Q55" s="46">
        <v>20</v>
      </c>
      <c r="R55" s="226"/>
      <c r="S55" s="42">
        <v>0</v>
      </c>
      <c r="T55" s="42">
        <v>1</v>
      </c>
      <c r="U55" s="158" t="s">
        <v>830</v>
      </c>
      <c r="V55" s="159">
        <v>42817</v>
      </c>
      <c r="W55" s="161"/>
      <c r="X55" s="162"/>
    </row>
    <row r="56" spans="2:24" s="194" customFormat="1" ht="100" x14ac:dyDescent="0.3">
      <c r="B56" s="157"/>
      <c r="C56" s="106">
        <v>38496.180555555555</v>
      </c>
      <c r="D56" s="46">
        <v>40.799999999999997</v>
      </c>
      <c r="E56" s="46">
        <v>-2.2999999999999998</v>
      </c>
      <c r="F56" s="46">
        <f t="shared" si="1"/>
        <v>5.7563881701650201</v>
      </c>
      <c r="G56" s="46">
        <v>135</v>
      </c>
      <c r="H56" s="46">
        <v>203</v>
      </c>
      <c r="I56" s="46">
        <v>249</v>
      </c>
      <c r="J56" s="164" t="s">
        <v>435</v>
      </c>
      <c r="K56" s="164"/>
      <c r="L56" s="46"/>
      <c r="M56" s="46"/>
      <c r="N56" s="46"/>
      <c r="O56" s="46"/>
      <c r="P56" s="46"/>
      <c r="Q56" s="46">
        <v>46</v>
      </c>
      <c r="R56" s="226"/>
      <c r="S56" s="42">
        <v>0</v>
      </c>
      <c r="T56" s="42">
        <v>1</v>
      </c>
      <c r="U56" s="158" t="s">
        <v>827</v>
      </c>
      <c r="V56" s="159">
        <v>42817</v>
      </c>
      <c r="W56" s="161"/>
      <c r="X56" s="162"/>
    </row>
    <row r="57" spans="2:24" s="194" customFormat="1" ht="87.5" x14ac:dyDescent="0.3">
      <c r="B57" s="157"/>
      <c r="C57" s="257">
        <v>38522.138888888891</v>
      </c>
      <c r="D57" s="46">
        <v>37.799999999999997</v>
      </c>
      <c r="E57" s="46">
        <v>-2.2000000000000002</v>
      </c>
      <c r="F57" s="46">
        <f t="shared" si="1"/>
        <v>5.6904827759322636</v>
      </c>
      <c r="G57" s="46">
        <v>239</v>
      </c>
      <c r="H57" s="46">
        <v>109</v>
      </c>
      <c r="I57" s="46">
        <v>161</v>
      </c>
      <c r="J57" s="164" t="s">
        <v>435</v>
      </c>
      <c r="K57" s="164" t="s">
        <v>435</v>
      </c>
      <c r="L57" s="164" t="s">
        <v>435</v>
      </c>
      <c r="M57" s="164"/>
      <c r="N57" s="164" t="s">
        <v>435</v>
      </c>
      <c r="O57" s="164"/>
      <c r="P57" s="164"/>
      <c r="Q57" s="46">
        <v>43</v>
      </c>
      <c r="R57" s="226"/>
      <c r="S57" s="42">
        <v>0</v>
      </c>
      <c r="T57" s="42">
        <v>1</v>
      </c>
      <c r="U57" s="158" t="s">
        <v>828</v>
      </c>
      <c r="V57" s="159">
        <v>42817</v>
      </c>
      <c r="W57" s="161"/>
      <c r="X57" s="162"/>
    </row>
    <row r="58" spans="2:24" s="194" customFormat="1" ht="87.5" x14ac:dyDescent="0.3">
      <c r="B58" s="157"/>
      <c r="C58" s="106">
        <v>38522.154861111114</v>
      </c>
      <c r="D58" s="46">
        <v>37.799999999999997</v>
      </c>
      <c r="E58" s="46">
        <v>-2.2000000000000002</v>
      </c>
      <c r="F58" s="46">
        <f t="shared" si="1"/>
        <v>5.6904827759322636</v>
      </c>
      <c r="G58" s="46">
        <v>239</v>
      </c>
      <c r="H58" s="46">
        <v>109</v>
      </c>
      <c r="I58" s="46">
        <v>161</v>
      </c>
      <c r="J58" s="164" t="s">
        <v>435</v>
      </c>
      <c r="K58" s="164" t="s">
        <v>435</v>
      </c>
      <c r="L58" s="164" t="s">
        <v>435</v>
      </c>
      <c r="M58" s="164"/>
      <c r="N58" s="164" t="s">
        <v>435</v>
      </c>
      <c r="O58" s="164"/>
      <c r="P58" s="164"/>
      <c r="Q58" s="46">
        <v>40</v>
      </c>
      <c r="R58" s="226"/>
      <c r="S58" s="42">
        <v>0</v>
      </c>
      <c r="T58" s="42">
        <v>1</v>
      </c>
      <c r="U58" s="158" t="s">
        <v>829</v>
      </c>
      <c r="V58" s="159">
        <v>42817</v>
      </c>
      <c r="W58" s="161"/>
      <c r="X58" s="162"/>
    </row>
    <row r="59" spans="2:24" s="194" customFormat="1" ht="37.5" x14ac:dyDescent="0.25">
      <c r="B59" s="51"/>
      <c r="C59" s="106">
        <v>38839.193055555559</v>
      </c>
      <c r="D59" s="46">
        <v>44.7</v>
      </c>
      <c r="E59" s="46">
        <v>-2.5</v>
      </c>
      <c r="F59" s="46">
        <f t="shared" si="1"/>
        <v>5.7547009674520249</v>
      </c>
      <c r="G59" s="46"/>
      <c r="H59" s="46"/>
      <c r="I59" s="46"/>
      <c r="J59" s="164" t="s">
        <v>435</v>
      </c>
      <c r="K59" s="164"/>
      <c r="L59" s="46"/>
      <c r="M59" s="46"/>
      <c r="N59" s="46"/>
      <c r="O59" s="46"/>
      <c r="P59" s="46"/>
      <c r="Q59" s="46">
        <v>25</v>
      </c>
      <c r="R59" s="142" t="s">
        <v>6</v>
      </c>
      <c r="S59" s="42">
        <v>0</v>
      </c>
      <c r="T59" s="42">
        <v>1</v>
      </c>
      <c r="U59" s="158" t="s">
        <v>230</v>
      </c>
      <c r="V59" s="49">
        <v>39948</v>
      </c>
      <c r="W59" s="42"/>
      <c r="X59" s="42"/>
    </row>
    <row r="60" spans="2:24" s="194" customFormat="1" ht="75" x14ac:dyDescent="0.25">
      <c r="B60" s="51"/>
      <c r="C60" s="259">
        <v>38848.186111111114</v>
      </c>
      <c r="D60" s="46">
        <v>44.6</v>
      </c>
      <c r="E60" s="46">
        <v>-2.5</v>
      </c>
      <c r="F60" s="46">
        <f t="shared" si="1"/>
        <v>5.7498357809249434</v>
      </c>
      <c r="G60" s="46"/>
      <c r="H60" s="46"/>
      <c r="I60" s="46"/>
      <c r="J60" s="164" t="s">
        <v>435</v>
      </c>
      <c r="K60" s="164" t="s">
        <v>435</v>
      </c>
      <c r="L60" s="164"/>
      <c r="M60" s="164"/>
      <c r="N60" s="164" t="s">
        <v>435</v>
      </c>
      <c r="O60" s="164"/>
      <c r="P60" s="164"/>
      <c r="Q60" s="46">
        <v>29</v>
      </c>
      <c r="R60" s="142" t="s">
        <v>211</v>
      </c>
      <c r="S60" s="42">
        <v>0</v>
      </c>
      <c r="T60" s="42">
        <v>1</v>
      </c>
      <c r="U60" s="158" t="s">
        <v>436</v>
      </c>
      <c r="V60" s="49">
        <v>39948</v>
      </c>
      <c r="W60" s="42"/>
      <c r="X60" s="42"/>
    </row>
    <row r="61" spans="2:24" s="194" customFormat="1" x14ac:dyDescent="0.25">
      <c r="B61" s="51"/>
      <c r="C61" s="106">
        <v>38905.157638888886</v>
      </c>
      <c r="D61" s="46">
        <v>40.9</v>
      </c>
      <c r="E61" s="46">
        <v>-2.2000000000000002</v>
      </c>
      <c r="F61" s="46">
        <f t="shared" si="1"/>
        <v>5.8617059326157781</v>
      </c>
      <c r="G61" s="46"/>
      <c r="H61" s="46"/>
      <c r="I61" s="46"/>
      <c r="J61" s="164" t="s">
        <v>435</v>
      </c>
      <c r="K61" s="164"/>
      <c r="L61" s="164" t="s">
        <v>435</v>
      </c>
      <c r="M61" s="164"/>
      <c r="N61" s="164" t="s">
        <v>435</v>
      </c>
      <c r="O61" s="164"/>
      <c r="P61" s="46"/>
      <c r="Q61" s="46">
        <v>34</v>
      </c>
      <c r="R61" s="227"/>
      <c r="S61" s="42">
        <v>0</v>
      </c>
      <c r="T61" s="42">
        <v>1</v>
      </c>
      <c r="U61" s="158" t="s">
        <v>437</v>
      </c>
      <c r="V61" s="49">
        <v>39948</v>
      </c>
      <c r="W61" s="42"/>
      <c r="X61" s="42"/>
    </row>
    <row r="62" spans="2:24" s="194" customFormat="1" ht="75" x14ac:dyDescent="0.25">
      <c r="B62" s="51"/>
      <c r="C62" s="106">
        <v>39249.323611111111</v>
      </c>
      <c r="D62" s="42">
        <v>45.7</v>
      </c>
      <c r="E62" s="42">
        <v>-2.6</v>
      </c>
      <c r="F62" s="46">
        <f t="shared" si="1"/>
        <v>5.7027627703000201</v>
      </c>
      <c r="G62" s="46"/>
      <c r="H62" s="46"/>
      <c r="I62" s="46"/>
      <c r="J62" s="164" t="s">
        <v>435</v>
      </c>
      <c r="K62" s="164"/>
      <c r="L62" s="164" t="s">
        <v>435</v>
      </c>
      <c r="M62" s="164"/>
      <c r="N62" s="164" t="s">
        <v>435</v>
      </c>
      <c r="O62" s="46"/>
      <c r="P62" s="46"/>
      <c r="Q62" s="46">
        <v>25</v>
      </c>
      <c r="R62" s="224">
        <v>3.5</v>
      </c>
      <c r="S62" s="42">
        <v>0</v>
      </c>
      <c r="T62" s="42">
        <v>1</v>
      </c>
      <c r="U62" s="158" t="s">
        <v>438</v>
      </c>
      <c r="V62" s="49">
        <v>39948</v>
      </c>
      <c r="W62" s="42"/>
      <c r="X62" s="42"/>
    </row>
    <row r="63" spans="2:24" s="194" customFormat="1" ht="62.5" x14ac:dyDescent="0.25">
      <c r="B63" s="51"/>
      <c r="C63" s="106">
        <v>39249.345138888886</v>
      </c>
      <c r="D63" s="42">
        <v>45.7</v>
      </c>
      <c r="E63" s="42">
        <v>-2.6</v>
      </c>
      <c r="F63" s="46">
        <f t="shared" si="1"/>
        <v>5.7027627703000201</v>
      </c>
      <c r="G63" s="46"/>
      <c r="H63" s="46"/>
      <c r="I63" s="46"/>
      <c r="J63" s="164" t="s">
        <v>435</v>
      </c>
      <c r="K63" s="164"/>
      <c r="L63" s="164" t="s">
        <v>435</v>
      </c>
      <c r="M63" s="164"/>
      <c r="N63" s="164" t="s">
        <v>435</v>
      </c>
      <c r="O63" s="46"/>
      <c r="P63" s="46"/>
      <c r="Q63" s="170">
        <v>22</v>
      </c>
      <c r="R63" s="227">
        <v>3.5</v>
      </c>
      <c r="S63" s="42">
        <v>0</v>
      </c>
      <c r="T63" s="42">
        <v>1</v>
      </c>
      <c r="U63" s="158" t="s">
        <v>243</v>
      </c>
      <c r="V63" s="49">
        <v>39948</v>
      </c>
      <c r="W63" s="42"/>
      <c r="X63" s="42"/>
    </row>
    <row r="64" spans="2:24" s="194" customFormat="1" x14ac:dyDescent="0.25">
      <c r="B64" s="51"/>
      <c r="C64" s="106">
        <v>39263.190972222219</v>
      </c>
      <c r="D64" s="42">
        <v>44.9</v>
      </c>
      <c r="E64" s="42">
        <v>-2.5</v>
      </c>
      <c r="F64" s="46">
        <f t="shared" si="1"/>
        <v>5.7643987731847863</v>
      </c>
      <c r="G64" s="46"/>
      <c r="H64" s="46"/>
      <c r="I64" s="46"/>
      <c r="J64" s="164" t="s">
        <v>435</v>
      </c>
      <c r="K64" s="164"/>
      <c r="L64" s="46"/>
      <c r="M64" s="164" t="s">
        <v>435</v>
      </c>
      <c r="N64" s="164" t="s">
        <v>435</v>
      </c>
      <c r="O64" s="46"/>
      <c r="P64" s="46"/>
      <c r="Q64" s="170">
        <v>28</v>
      </c>
      <c r="R64" s="227"/>
      <c r="S64" s="42">
        <v>0</v>
      </c>
      <c r="T64" s="42">
        <v>1</v>
      </c>
      <c r="U64" s="158" t="s">
        <v>439</v>
      </c>
      <c r="V64" s="49">
        <v>39948</v>
      </c>
      <c r="W64" s="42"/>
      <c r="X64" s="42"/>
    </row>
    <row r="65" spans="1:24" s="194" customFormat="1" x14ac:dyDescent="0.25">
      <c r="B65" s="51"/>
      <c r="C65" s="106">
        <v>39263.231944444444</v>
      </c>
      <c r="D65" s="42">
        <v>44.9</v>
      </c>
      <c r="E65" s="42">
        <v>-2.5</v>
      </c>
      <c r="F65" s="46">
        <f t="shared" si="1"/>
        <v>5.7643987731847863</v>
      </c>
      <c r="G65" s="46"/>
      <c r="H65" s="46"/>
      <c r="I65" s="46"/>
      <c r="J65" s="164" t="s">
        <v>435</v>
      </c>
      <c r="K65" s="164"/>
      <c r="L65" s="46"/>
      <c r="M65" s="164" t="s">
        <v>435</v>
      </c>
      <c r="N65" s="164" t="s">
        <v>435</v>
      </c>
      <c r="O65" s="46"/>
      <c r="P65" s="46"/>
      <c r="Q65" s="170">
        <v>28</v>
      </c>
      <c r="R65" s="227"/>
      <c r="S65" s="42">
        <v>0</v>
      </c>
      <c r="T65" s="42">
        <v>1</v>
      </c>
      <c r="U65" s="158" t="s">
        <v>439</v>
      </c>
      <c r="V65" s="49">
        <v>39948</v>
      </c>
      <c r="W65" s="42"/>
      <c r="X65" s="42"/>
    </row>
    <row r="66" spans="1:24" x14ac:dyDescent="0.25">
      <c r="B66" s="51"/>
      <c r="C66" s="106">
        <v>39266.18472222222</v>
      </c>
      <c r="D66" s="42">
        <v>44.7</v>
      </c>
      <c r="E66" s="42">
        <v>-2.5</v>
      </c>
      <c r="F66" s="46">
        <f t="shared" ref="F66:F72" si="2">-LOG((1/(D66^2))*(2.511^(-E66)))/LOG(2.511)</f>
        <v>5.7547009674520249</v>
      </c>
      <c r="G66" s="46"/>
      <c r="H66" s="46"/>
      <c r="I66" s="46"/>
      <c r="J66" s="164" t="s">
        <v>435</v>
      </c>
      <c r="K66" s="164"/>
      <c r="L66" s="164" t="s">
        <v>435</v>
      </c>
      <c r="M66" s="46"/>
      <c r="N66" s="46"/>
      <c r="O66" s="46"/>
      <c r="P66" s="46"/>
      <c r="Q66" s="170">
        <v>28</v>
      </c>
      <c r="R66" s="227"/>
      <c r="S66" s="42">
        <v>0</v>
      </c>
      <c r="T66" s="42">
        <v>1</v>
      </c>
      <c r="U66" s="158" t="s">
        <v>440</v>
      </c>
      <c r="V66" s="49">
        <v>39948</v>
      </c>
      <c r="W66" s="42"/>
      <c r="X66" s="42"/>
    </row>
    <row r="67" spans="1:24" s="194" customFormat="1" x14ac:dyDescent="0.25">
      <c r="B67" s="51"/>
      <c r="C67" s="106">
        <v>39266.236805555556</v>
      </c>
      <c r="D67" s="42">
        <v>44.7</v>
      </c>
      <c r="E67" s="42">
        <v>-2.5</v>
      </c>
      <c r="F67" s="46">
        <f t="shared" si="2"/>
        <v>5.7547009674520249</v>
      </c>
      <c r="G67" s="46"/>
      <c r="H67" s="46"/>
      <c r="I67" s="46"/>
      <c r="J67" s="164" t="s">
        <v>435</v>
      </c>
      <c r="K67" s="164"/>
      <c r="L67" s="164" t="s">
        <v>435</v>
      </c>
      <c r="M67" s="46"/>
      <c r="N67" s="46"/>
      <c r="O67" s="46"/>
      <c r="P67" s="46"/>
      <c r="Q67" s="170">
        <v>28</v>
      </c>
      <c r="R67" s="227"/>
      <c r="S67" s="42">
        <v>0</v>
      </c>
      <c r="T67" s="42">
        <v>1</v>
      </c>
      <c r="U67" s="158" t="s">
        <v>439</v>
      </c>
      <c r="V67" s="49">
        <v>39948</v>
      </c>
      <c r="W67" s="42"/>
      <c r="X67" s="42"/>
    </row>
    <row r="68" spans="1:24" s="194" customFormat="1" ht="75" x14ac:dyDescent="0.25">
      <c r="B68" s="51"/>
      <c r="C68" s="259">
        <v>39672.257638888892</v>
      </c>
      <c r="D68" s="42">
        <v>45.6</v>
      </c>
      <c r="E68" s="42">
        <v>-2.6</v>
      </c>
      <c r="F68" s="46">
        <f t="shared" si="2"/>
        <v>5.6980041596866666</v>
      </c>
      <c r="G68" s="46"/>
      <c r="H68" s="46"/>
      <c r="I68" s="46"/>
      <c r="J68" s="164" t="s">
        <v>435</v>
      </c>
      <c r="K68" s="164" t="s">
        <v>435</v>
      </c>
      <c r="L68" s="46"/>
      <c r="M68" s="46"/>
      <c r="N68" s="164" t="s">
        <v>435</v>
      </c>
      <c r="O68" s="46"/>
      <c r="P68" s="46"/>
      <c r="Q68" s="170">
        <v>23</v>
      </c>
      <c r="R68" s="227"/>
      <c r="S68" s="42">
        <v>0</v>
      </c>
      <c r="T68" s="42">
        <v>1</v>
      </c>
      <c r="U68" s="158" t="s">
        <v>441</v>
      </c>
      <c r="V68" s="49">
        <v>39951</v>
      </c>
      <c r="W68" s="42"/>
      <c r="X68" s="42"/>
    </row>
    <row r="69" spans="1:24" s="194" customFormat="1" ht="87.5" x14ac:dyDescent="0.25">
      <c r="B69" s="51"/>
      <c r="C69" s="259">
        <v>39679.227777777778</v>
      </c>
      <c r="D69" s="42">
        <v>44.8</v>
      </c>
      <c r="E69" s="42">
        <v>-2.6</v>
      </c>
      <c r="F69" s="46">
        <f t="shared" si="2"/>
        <v>5.6595552820448489</v>
      </c>
      <c r="G69" s="46"/>
      <c r="H69" s="46"/>
      <c r="I69" s="46"/>
      <c r="J69" s="164" t="s">
        <v>435</v>
      </c>
      <c r="K69" s="164" t="s">
        <v>435</v>
      </c>
      <c r="L69" s="46"/>
      <c r="M69" s="46"/>
      <c r="N69" s="164" t="s">
        <v>435</v>
      </c>
      <c r="O69" s="46"/>
      <c r="P69" s="46"/>
      <c r="Q69" s="170">
        <v>24</v>
      </c>
      <c r="R69" s="227"/>
      <c r="S69" s="42">
        <v>0</v>
      </c>
      <c r="T69" s="42">
        <v>1</v>
      </c>
      <c r="U69" s="158" t="s">
        <v>442</v>
      </c>
      <c r="V69" s="49">
        <v>39951</v>
      </c>
      <c r="W69" s="42"/>
      <c r="X69" s="42"/>
    </row>
    <row r="70" spans="1:24" s="194" customFormat="1" ht="87.5" x14ac:dyDescent="0.25">
      <c r="B70" s="51"/>
      <c r="C70" s="259">
        <v>39679.24722222222</v>
      </c>
      <c r="D70" s="42">
        <v>44.8</v>
      </c>
      <c r="E70" s="42">
        <v>-2.6</v>
      </c>
      <c r="F70" s="46">
        <f t="shared" si="2"/>
        <v>5.6595552820448489</v>
      </c>
      <c r="G70" s="46"/>
      <c r="H70" s="46"/>
      <c r="I70" s="46"/>
      <c r="J70" s="164" t="s">
        <v>435</v>
      </c>
      <c r="K70" s="164" t="s">
        <v>435</v>
      </c>
      <c r="L70" s="46"/>
      <c r="M70" s="46"/>
      <c r="N70" s="164" t="s">
        <v>435</v>
      </c>
      <c r="O70" s="46"/>
      <c r="P70" s="46"/>
      <c r="Q70" s="170">
        <v>22</v>
      </c>
      <c r="R70" s="227"/>
      <c r="S70" s="42">
        <v>0</v>
      </c>
      <c r="T70" s="42">
        <v>1</v>
      </c>
      <c r="U70" s="158" t="s">
        <v>443</v>
      </c>
      <c r="V70" s="49">
        <v>39951</v>
      </c>
      <c r="W70" s="42"/>
      <c r="X70" s="42"/>
    </row>
    <row r="71" spans="1:24" s="194" customFormat="1" x14ac:dyDescent="0.25">
      <c r="B71" s="51"/>
      <c r="C71" s="106">
        <v>39707.166666666664</v>
      </c>
      <c r="D71" s="42">
        <v>41.3</v>
      </c>
      <c r="E71" s="42">
        <v>-2.4</v>
      </c>
      <c r="F71" s="46">
        <f t="shared" si="2"/>
        <v>5.6828477527917212</v>
      </c>
      <c r="G71" s="46"/>
      <c r="H71" s="46"/>
      <c r="I71" s="46"/>
      <c r="J71" s="164" t="s">
        <v>435</v>
      </c>
      <c r="K71" s="164"/>
      <c r="L71" s="164"/>
      <c r="M71" s="164" t="s">
        <v>435</v>
      </c>
      <c r="N71" s="164"/>
      <c r="O71" s="164" t="s">
        <v>435</v>
      </c>
      <c r="P71" s="164"/>
      <c r="Q71" s="46">
        <v>22</v>
      </c>
      <c r="R71" s="227"/>
      <c r="S71" s="42">
        <v>0</v>
      </c>
      <c r="T71" s="42">
        <v>1</v>
      </c>
      <c r="U71" s="158" t="s">
        <v>444</v>
      </c>
      <c r="V71" s="49">
        <v>39951</v>
      </c>
      <c r="W71" s="42"/>
      <c r="X71" s="42"/>
    </row>
    <row r="72" spans="1:24" s="194" customFormat="1" x14ac:dyDescent="0.25">
      <c r="B72" s="51"/>
      <c r="C72" s="106">
        <v>39708.155555555553</v>
      </c>
      <c r="D72" s="42">
        <v>41.1</v>
      </c>
      <c r="E72" s="42">
        <v>-2.4</v>
      </c>
      <c r="F72" s="46">
        <f t="shared" si="2"/>
        <v>5.672302562781141</v>
      </c>
      <c r="G72" s="46"/>
      <c r="H72" s="46"/>
      <c r="I72" s="46"/>
      <c r="J72" s="164" t="s">
        <v>435</v>
      </c>
      <c r="K72" s="164"/>
      <c r="L72" s="164" t="s">
        <v>435</v>
      </c>
      <c r="M72" s="164"/>
      <c r="N72" s="164" t="s">
        <v>435</v>
      </c>
      <c r="O72" s="164"/>
      <c r="P72" s="164"/>
      <c r="Q72" s="46">
        <v>23</v>
      </c>
      <c r="R72" s="227"/>
      <c r="S72" s="42">
        <v>0</v>
      </c>
      <c r="T72" s="42">
        <v>1</v>
      </c>
      <c r="U72" s="158" t="s">
        <v>444</v>
      </c>
      <c r="V72" s="49">
        <v>39951</v>
      </c>
      <c r="W72" s="42"/>
      <c r="X72" s="42"/>
    </row>
    <row r="73" spans="1:24" s="194" customFormat="1" x14ac:dyDescent="0.25">
      <c r="B73" s="44"/>
      <c r="C73" s="259">
        <v>40060.261805555558</v>
      </c>
      <c r="D73" s="172"/>
      <c r="E73" s="172"/>
      <c r="F73" s="172"/>
      <c r="G73" s="172"/>
      <c r="H73" s="172"/>
      <c r="I73" s="172"/>
      <c r="J73" s="164" t="s">
        <v>435</v>
      </c>
      <c r="K73" s="164" t="s">
        <v>435</v>
      </c>
      <c r="L73" s="195"/>
      <c r="M73" s="195"/>
      <c r="N73" s="195"/>
      <c r="O73" s="195"/>
      <c r="P73" s="195"/>
      <c r="Q73" s="172"/>
      <c r="R73" s="228"/>
      <c r="S73" s="42">
        <v>0</v>
      </c>
      <c r="T73" s="42">
        <v>1</v>
      </c>
      <c r="U73" s="44" t="s">
        <v>687</v>
      </c>
      <c r="V73" s="178">
        <v>40528</v>
      </c>
    </row>
    <row r="74" spans="1:24" s="194" customFormat="1" x14ac:dyDescent="0.25">
      <c r="B74" s="44"/>
      <c r="C74" s="259">
        <v>40060.28125</v>
      </c>
      <c r="D74" s="172"/>
      <c r="E74" s="172"/>
      <c r="F74" s="172"/>
      <c r="G74" s="172"/>
      <c r="H74" s="172"/>
      <c r="I74" s="172"/>
      <c r="J74" s="164" t="s">
        <v>435</v>
      </c>
      <c r="K74" s="164" t="s">
        <v>435</v>
      </c>
      <c r="L74" s="195"/>
      <c r="M74" s="195"/>
      <c r="N74" s="195"/>
      <c r="O74" s="195"/>
      <c r="P74" s="195"/>
      <c r="Q74" s="172"/>
      <c r="R74" s="228"/>
      <c r="S74" s="42">
        <v>0</v>
      </c>
      <c r="T74" s="42">
        <v>1</v>
      </c>
      <c r="U74" s="44" t="s">
        <v>687</v>
      </c>
      <c r="V74" s="178">
        <v>40528</v>
      </c>
    </row>
    <row r="75" spans="1:24" s="42" customFormat="1" x14ac:dyDescent="0.25">
      <c r="A75" s="42" t="s">
        <v>446</v>
      </c>
      <c r="B75" s="51"/>
      <c r="C75" s="106">
        <v>40060.291666666664</v>
      </c>
      <c r="D75" s="46"/>
      <c r="E75" s="46"/>
      <c r="F75" s="46"/>
      <c r="G75" s="46"/>
      <c r="H75" s="46"/>
      <c r="I75" s="46"/>
      <c r="J75" s="164"/>
      <c r="K75" s="164"/>
      <c r="L75" s="164" t="s">
        <v>435</v>
      </c>
      <c r="M75" s="164"/>
      <c r="N75" s="164"/>
      <c r="O75" s="164"/>
      <c r="P75" s="164"/>
      <c r="Q75" s="46"/>
      <c r="R75" s="227"/>
      <c r="U75" s="158" t="s">
        <v>470</v>
      </c>
      <c r="V75" s="196">
        <v>40060</v>
      </c>
    </row>
    <row r="76" spans="1:24" s="42" customFormat="1" ht="25" x14ac:dyDescent="0.25">
      <c r="A76" s="42" t="s">
        <v>446</v>
      </c>
      <c r="B76" s="51"/>
      <c r="C76" s="106">
        <v>40060.291666666664</v>
      </c>
      <c r="D76" s="46"/>
      <c r="E76" s="46"/>
      <c r="F76" s="46"/>
      <c r="G76" s="46"/>
      <c r="H76" s="46"/>
      <c r="I76" s="46"/>
      <c r="J76" s="164"/>
      <c r="K76" s="164"/>
      <c r="L76" s="164"/>
      <c r="M76" s="164"/>
      <c r="N76" s="164" t="s">
        <v>435</v>
      </c>
      <c r="O76" s="164" t="s">
        <v>435</v>
      </c>
      <c r="P76" s="164"/>
      <c r="Q76" s="46"/>
      <c r="R76" s="227"/>
      <c r="U76" s="158" t="s">
        <v>471</v>
      </c>
      <c r="V76" s="196">
        <v>40060</v>
      </c>
    </row>
    <row r="77" spans="1:24" s="42" customFormat="1" x14ac:dyDescent="0.25">
      <c r="A77" s="42" t="s">
        <v>446</v>
      </c>
      <c r="B77" s="51"/>
      <c r="C77" s="106">
        <v>40060.291666666664</v>
      </c>
      <c r="D77" s="46"/>
      <c r="E77" s="46"/>
      <c r="F77" s="46"/>
      <c r="G77" s="46"/>
      <c r="H77" s="46"/>
      <c r="I77" s="46"/>
      <c r="J77" s="164"/>
      <c r="K77" s="164"/>
      <c r="L77" s="164"/>
      <c r="M77" s="164" t="s">
        <v>435</v>
      </c>
      <c r="N77" s="164"/>
      <c r="O77" s="164"/>
      <c r="P77" s="164"/>
      <c r="Q77" s="46"/>
      <c r="R77" s="227"/>
      <c r="U77" s="158" t="s">
        <v>472</v>
      </c>
      <c r="V77" s="196">
        <v>40060</v>
      </c>
    </row>
    <row r="78" spans="1:24" s="167" customFormat="1" ht="25" x14ac:dyDescent="0.25">
      <c r="A78" s="42" t="s">
        <v>488</v>
      </c>
      <c r="B78" s="165"/>
      <c r="C78" s="106">
        <v>40083.197222222225</v>
      </c>
      <c r="D78" s="170">
        <v>45.7</v>
      </c>
      <c r="E78" s="170">
        <v>-2.7</v>
      </c>
      <c r="F78" s="46">
        <f t="shared" ref="F78" si="3">-LOG((1/(D78^2))*(2.511^(-E78)))/LOG(2.511)</f>
        <v>5.6027627703000205</v>
      </c>
      <c r="G78" s="170">
        <v>51</v>
      </c>
      <c r="H78" s="170">
        <v>249.8</v>
      </c>
      <c r="I78" s="170">
        <v>359.8</v>
      </c>
      <c r="J78" s="164" t="s">
        <v>435</v>
      </c>
      <c r="K78" s="164"/>
      <c r="L78" s="164" t="s">
        <v>435</v>
      </c>
      <c r="M78" s="164" t="s">
        <v>435</v>
      </c>
      <c r="N78" s="164"/>
      <c r="O78" s="164" t="s">
        <v>435</v>
      </c>
      <c r="P78" s="197"/>
      <c r="Q78" s="170">
        <v>32</v>
      </c>
      <c r="R78" s="224"/>
      <c r="S78" s="42">
        <v>0</v>
      </c>
      <c r="T78" s="42">
        <v>1</v>
      </c>
      <c r="U78" s="51" t="s">
        <v>684</v>
      </c>
      <c r="V78" s="178">
        <v>40528</v>
      </c>
    </row>
    <row r="79" spans="1:24" s="167" customFormat="1" ht="50" x14ac:dyDescent="0.25">
      <c r="A79" s="42" t="s">
        <v>488</v>
      </c>
      <c r="B79" s="165"/>
      <c r="C79" s="106">
        <v>40086.209027777775</v>
      </c>
      <c r="D79" s="170"/>
      <c r="E79" s="170"/>
      <c r="F79" s="170"/>
      <c r="G79" s="170"/>
      <c r="H79" s="170"/>
      <c r="I79" s="170"/>
      <c r="J79" s="164" t="s">
        <v>435</v>
      </c>
      <c r="K79" s="164"/>
      <c r="L79" s="164" t="s">
        <v>435</v>
      </c>
      <c r="M79" s="164" t="s">
        <v>435</v>
      </c>
      <c r="N79" s="197"/>
      <c r="O79" s="197"/>
      <c r="P79" s="197"/>
      <c r="Q79" s="170"/>
      <c r="R79" s="224"/>
      <c r="S79" s="42">
        <v>0</v>
      </c>
      <c r="T79" s="42">
        <v>1</v>
      </c>
      <c r="U79" s="51" t="s">
        <v>685</v>
      </c>
      <c r="V79" s="178">
        <v>40528</v>
      </c>
    </row>
    <row r="80" spans="1:24" s="167" customFormat="1" ht="50" x14ac:dyDescent="0.25">
      <c r="A80" s="42" t="s">
        <v>488</v>
      </c>
      <c r="B80" s="165"/>
      <c r="C80" s="106">
        <v>40086.215277777781</v>
      </c>
      <c r="D80" s="170"/>
      <c r="E80" s="170"/>
      <c r="F80" s="170"/>
      <c r="G80" s="170"/>
      <c r="H80" s="170"/>
      <c r="I80" s="170"/>
      <c r="J80" s="164" t="s">
        <v>435</v>
      </c>
      <c r="K80" s="164"/>
      <c r="L80" s="164" t="s">
        <v>435</v>
      </c>
      <c r="M80" s="164" t="s">
        <v>435</v>
      </c>
      <c r="N80" s="197"/>
      <c r="O80" s="197"/>
      <c r="P80" s="197"/>
      <c r="Q80" s="170"/>
      <c r="R80" s="224"/>
      <c r="S80" s="42">
        <v>0</v>
      </c>
      <c r="T80" s="42">
        <v>1</v>
      </c>
      <c r="U80" s="51" t="s">
        <v>685</v>
      </c>
      <c r="V80" s="178">
        <v>40528</v>
      </c>
    </row>
    <row r="81" spans="1:22" s="167" customFormat="1" ht="50" x14ac:dyDescent="0.25">
      <c r="A81" s="42" t="s">
        <v>488</v>
      </c>
      <c r="B81" s="165"/>
      <c r="C81" s="106">
        <v>40086.219444444447</v>
      </c>
      <c r="D81" s="170"/>
      <c r="E81" s="170"/>
      <c r="F81" s="170"/>
      <c r="G81" s="170"/>
      <c r="H81" s="170"/>
      <c r="I81" s="170"/>
      <c r="J81" s="164" t="s">
        <v>435</v>
      </c>
      <c r="K81" s="164"/>
      <c r="L81" s="164" t="s">
        <v>435</v>
      </c>
      <c r="M81" s="164" t="s">
        <v>435</v>
      </c>
      <c r="N81" s="197"/>
      <c r="O81" s="197"/>
      <c r="P81" s="197"/>
      <c r="Q81" s="170"/>
      <c r="R81" s="224"/>
      <c r="S81" s="42">
        <v>0</v>
      </c>
      <c r="T81" s="42">
        <v>1</v>
      </c>
      <c r="U81" s="51" t="s">
        <v>685</v>
      </c>
      <c r="V81" s="178">
        <v>40528</v>
      </c>
    </row>
    <row r="82" spans="1:22" s="167" customFormat="1" ht="50" x14ac:dyDescent="0.25">
      <c r="A82" s="42" t="s">
        <v>488</v>
      </c>
      <c r="B82" s="165"/>
      <c r="C82" s="106">
        <v>40086.223611111112</v>
      </c>
      <c r="D82" s="170"/>
      <c r="E82" s="170"/>
      <c r="F82" s="170"/>
      <c r="G82" s="170"/>
      <c r="H82" s="170"/>
      <c r="I82" s="170"/>
      <c r="J82" s="164" t="s">
        <v>435</v>
      </c>
      <c r="K82" s="164"/>
      <c r="L82" s="164" t="s">
        <v>435</v>
      </c>
      <c r="M82" s="164" t="s">
        <v>435</v>
      </c>
      <c r="N82" s="197"/>
      <c r="O82" s="197"/>
      <c r="P82" s="197"/>
      <c r="Q82" s="170"/>
      <c r="R82" s="224"/>
      <c r="S82" s="42">
        <v>0</v>
      </c>
      <c r="T82" s="42">
        <v>1</v>
      </c>
      <c r="U82" s="51" t="s">
        <v>685</v>
      </c>
      <c r="V82" s="178">
        <v>40528</v>
      </c>
    </row>
    <row r="83" spans="1:22" s="167" customFormat="1" ht="50" x14ac:dyDescent="0.25">
      <c r="A83" s="42" t="s">
        <v>488</v>
      </c>
      <c r="B83" s="165"/>
      <c r="C83" s="106">
        <v>40086.226388888892</v>
      </c>
      <c r="D83" s="170"/>
      <c r="E83" s="170"/>
      <c r="F83" s="170"/>
      <c r="G83" s="170"/>
      <c r="H83" s="170"/>
      <c r="I83" s="170"/>
      <c r="J83" s="164" t="s">
        <v>435</v>
      </c>
      <c r="K83" s="164"/>
      <c r="L83" s="164" t="s">
        <v>435</v>
      </c>
      <c r="M83" s="164" t="s">
        <v>435</v>
      </c>
      <c r="N83" s="197"/>
      <c r="O83" s="197"/>
      <c r="P83" s="197"/>
      <c r="Q83" s="170"/>
      <c r="R83" s="224"/>
      <c r="S83" s="42">
        <v>0</v>
      </c>
      <c r="T83" s="42">
        <v>1</v>
      </c>
      <c r="U83" s="51" t="s">
        <v>685</v>
      </c>
      <c r="V83" s="178">
        <v>40528</v>
      </c>
    </row>
    <row r="84" spans="1:22" s="167" customFormat="1" ht="50" x14ac:dyDescent="0.25">
      <c r="A84" s="42" t="s">
        <v>488</v>
      </c>
      <c r="B84" s="165"/>
      <c r="C84" s="106">
        <v>40086.229166666664</v>
      </c>
      <c r="D84" s="170"/>
      <c r="E84" s="170"/>
      <c r="F84" s="170"/>
      <c r="G84" s="170"/>
      <c r="H84" s="170"/>
      <c r="I84" s="170"/>
      <c r="J84" s="164" t="s">
        <v>435</v>
      </c>
      <c r="K84" s="164"/>
      <c r="L84" s="164" t="s">
        <v>435</v>
      </c>
      <c r="M84" s="164" t="s">
        <v>435</v>
      </c>
      <c r="N84" s="197"/>
      <c r="O84" s="197"/>
      <c r="P84" s="197"/>
      <c r="Q84" s="170"/>
      <c r="R84" s="224"/>
      <c r="S84" s="42">
        <v>0</v>
      </c>
      <c r="T84" s="42">
        <v>1</v>
      </c>
      <c r="U84" s="51" t="s">
        <v>685</v>
      </c>
      <c r="V84" s="178">
        <v>40528</v>
      </c>
    </row>
    <row r="85" spans="1:22" s="167" customFormat="1" ht="50" x14ac:dyDescent="0.25">
      <c r="A85" s="42" t="s">
        <v>488</v>
      </c>
      <c r="B85" s="165"/>
      <c r="C85" s="106">
        <v>40086.236805555556</v>
      </c>
      <c r="D85" s="170"/>
      <c r="E85" s="170"/>
      <c r="F85" s="170"/>
      <c r="G85" s="170"/>
      <c r="H85" s="170"/>
      <c r="I85" s="170"/>
      <c r="J85" s="164" t="s">
        <v>435</v>
      </c>
      <c r="K85" s="164"/>
      <c r="L85" s="164" t="s">
        <v>435</v>
      </c>
      <c r="M85" s="164" t="s">
        <v>435</v>
      </c>
      <c r="N85" s="197"/>
      <c r="O85" s="197"/>
      <c r="P85" s="197"/>
      <c r="Q85" s="170"/>
      <c r="R85" s="224"/>
      <c r="S85" s="42">
        <v>0</v>
      </c>
      <c r="T85" s="42">
        <v>1</v>
      </c>
      <c r="U85" s="51" t="s">
        <v>685</v>
      </c>
      <c r="V85" s="178">
        <v>40528</v>
      </c>
    </row>
    <row r="86" spans="1:22" s="167" customFormat="1" ht="50" x14ac:dyDescent="0.25">
      <c r="A86" s="42" t="s">
        <v>488</v>
      </c>
      <c r="B86" s="165"/>
      <c r="C86" s="106">
        <v>40086.243055555555</v>
      </c>
      <c r="D86" s="170"/>
      <c r="E86" s="170"/>
      <c r="F86" s="170"/>
      <c r="G86" s="170"/>
      <c r="H86" s="170"/>
      <c r="I86" s="170"/>
      <c r="J86" s="164" t="s">
        <v>435</v>
      </c>
      <c r="K86" s="164"/>
      <c r="L86" s="164" t="s">
        <v>435</v>
      </c>
      <c r="M86" s="164" t="s">
        <v>435</v>
      </c>
      <c r="N86" s="197"/>
      <c r="O86" s="197"/>
      <c r="P86" s="197"/>
      <c r="Q86" s="170"/>
      <c r="R86" s="224"/>
      <c r="S86" s="42">
        <v>0</v>
      </c>
      <c r="T86" s="42">
        <v>1</v>
      </c>
      <c r="U86" s="51" t="s">
        <v>685</v>
      </c>
      <c r="V86" s="178">
        <v>40528</v>
      </c>
    </row>
    <row r="87" spans="1:22" s="167" customFormat="1" x14ac:dyDescent="0.25">
      <c r="A87" s="42" t="s">
        <v>446</v>
      </c>
      <c r="B87" s="165"/>
      <c r="C87" s="106">
        <v>40127.125</v>
      </c>
      <c r="D87" s="170"/>
      <c r="E87" s="170"/>
      <c r="F87" s="170"/>
      <c r="G87" s="170"/>
      <c r="H87" s="170"/>
      <c r="I87" s="170"/>
      <c r="J87" s="164"/>
      <c r="K87" s="164"/>
      <c r="L87" s="197"/>
      <c r="M87" s="197"/>
      <c r="N87" s="197"/>
      <c r="O87" s="197"/>
      <c r="P87" s="164" t="s">
        <v>435</v>
      </c>
      <c r="Q87" s="170"/>
      <c r="R87" s="224"/>
      <c r="U87" s="51" t="s">
        <v>686</v>
      </c>
      <c r="V87" s="178">
        <v>40528</v>
      </c>
    </row>
    <row r="88" spans="1:22" s="167" customFormat="1" ht="25" x14ac:dyDescent="0.25">
      <c r="A88" s="42" t="s">
        <v>488</v>
      </c>
      <c r="B88" s="165"/>
      <c r="C88" s="106">
        <v>40441.197222222225</v>
      </c>
      <c r="D88" s="170">
        <v>49.9</v>
      </c>
      <c r="E88" s="170">
        <v>-2.9</v>
      </c>
      <c r="F88" s="46">
        <f>-LOG((1/(D88^2))*(2.511^(-E88)))/LOG(2.511)</f>
        <v>5.5937576908007429</v>
      </c>
      <c r="G88" s="170">
        <v>20.3</v>
      </c>
      <c r="H88" s="170">
        <v>7.5</v>
      </c>
      <c r="I88" s="170">
        <v>213</v>
      </c>
      <c r="J88" s="164" t="s">
        <v>435</v>
      </c>
      <c r="K88" s="164"/>
      <c r="L88" s="198" t="s">
        <v>435</v>
      </c>
      <c r="M88" s="197"/>
      <c r="N88" s="197"/>
      <c r="O88" s="197"/>
      <c r="P88" s="197"/>
      <c r="Q88" s="170"/>
      <c r="R88" s="224"/>
      <c r="U88" s="51" t="s">
        <v>619</v>
      </c>
      <c r="V88" s="178">
        <v>40448</v>
      </c>
    </row>
    <row r="89" spans="1:22" s="167" customFormat="1" ht="25" x14ac:dyDescent="0.25">
      <c r="B89" s="165"/>
      <c r="C89" s="106">
        <v>40441.204861111109</v>
      </c>
      <c r="D89" s="199"/>
      <c r="E89" s="199"/>
      <c r="F89" s="46"/>
      <c r="G89" s="199"/>
      <c r="H89" s="199"/>
      <c r="I89" s="199"/>
      <c r="J89" s="197"/>
      <c r="K89" s="197"/>
      <c r="L89" s="200"/>
      <c r="M89" s="200"/>
      <c r="N89" s="198" t="s">
        <v>435</v>
      </c>
      <c r="O89" s="200"/>
      <c r="P89" s="200"/>
      <c r="Q89" s="199"/>
      <c r="R89" s="229"/>
      <c r="S89" s="201"/>
      <c r="U89" s="51" t="s">
        <v>620</v>
      </c>
      <c r="V89" s="178">
        <v>40448</v>
      </c>
    </row>
    <row r="90" spans="1:22" s="167" customFormat="1" ht="25" x14ac:dyDescent="0.25">
      <c r="A90" s="42" t="s">
        <v>488</v>
      </c>
      <c r="B90" s="165"/>
      <c r="C90" s="106">
        <v>40441.252083333333</v>
      </c>
      <c r="D90" s="170">
        <v>49.9</v>
      </c>
      <c r="E90" s="170">
        <v>-2.9</v>
      </c>
      <c r="F90" s="46">
        <f>-LOG((1/(D90^2))*(2.511^(-E90)))/LOG(2.511)</f>
        <v>5.5937576908007429</v>
      </c>
      <c r="G90" s="170">
        <v>68.5</v>
      </c>
      <c r="H90" s="170">
        <v>55.3</v>
      </c>
      <c r="I90" s="170">
        <v>260.8</v>
      </c>
      <c r="J90" s="164" t="s">
        <v>435</v>
      </c>
      <c r="K90" s="164"/>
      <c r="L90" s="198" t="s">
        <v>435</v>
      </c>
      <c r="M90" s="197"/>
      <c r="N90" s="197"/>
      <c r="O90" s="197"/>
      <c r="P90" s="197"/>
      <c r="Q90" s="170"/>
      <c r="R90" s="224"/>
      <c r="U90" s="51" t="s">
        <v>619</v>
      </c>
      <c r="V90" s="178">
        <v>40448</v>
      </c>
    </row>
    <row r="91" spans="1:22" s="167" customFormat="1" ht="25" x14ac:dyDescent="0.25">
      <c r="A91" s="42" t="s">
        <v>488</v>
      </c>
      <c r="B91" s="165"/>
      <c r="C91" s="106">
        <v>40447.175694444442</v>
      </c>
      <c r="D91" s="170">
        <v>49.8</v>
      </c>
      <c r="E91" s="170">
        <v>-2.9</v>
      </c>
      <c r="F91" s="46">
        <f>-LOG((1/(D91^2))*(2.511^(-E91)))/LOG(2.511)</f>
        <v>5.5894000065383844</v>
      </c>
      <c r="G91" s="170">
        <v>229.6</v>
      </c>
      <c r="H91" s="170">
        <v>171.2</v>
      </c>
      <c r="I91" s="170">
        <v>18.2</v>
      </c>
      <c r="J91" s="164" t="s">
        <v>435</v>
      </c>
      <c r="K91" s="164"/>
      <c r="L91" s="198"/>
      <c r="M91" s="197"/>
      <c r="N91" s="197"/>
      <c r="O91" s="197"/>
      <c r="P91" s="197"/>
      <c r="Q91" s="170">
        <v>37</v>
      </c>
      <c r="R91" s="224">
        <v>0.8</v>
      </c>
      <c r="T91" s="167">
        <v>1</v>
      </c>
      <c r="U91" s="51" t="s">
        <v>626</v>
      </c>
      <c r="V91" s="178">
        <v>40463</v>
      </c>
    </row>
    <row r="92" spans="1:22" s="167" customFormat="1" ht="25" x14ac:dyDescent="0.25">
      <c r="B92" s="165"/>
      <c r="C92" s="106">
        <v>40447.182638888888</v>
      </c>
      <c r="D92" s="170"/>
      <c r="E92" s="170"/>
      <c r="F92" s="170"/>
      <c r="G92" s="170"/>
      <c r="H92" s="170"/>
      <c r="I92" s="170"/>
      <c r="J92" s="164"/>
      <c r="K92" s="164"/>
      <c r="L92" s="198"/>
      <c r="M92" s="200" t="s">
        <v>435</v>
      </c>
      <c r="N92" s="200" t="s">
        <v>435</v>
      </c>
      <c r="O92" s="200"/>
      <c r="P92" s="200"/>
      <c r="Q92" s="170">
        <v>38</v>
      </c>
      <c r="R92" s="224">
        <v>0.8</v>
      </c>
      <c r="S92" s="201"/>
      <c r="T92" s="201">
        <v>1</v>
      </c>
      <c r="U92" s="51" t="s">
        <v>626</v>
      </c>
      <c r="V92" s="178">
        <v>40463</v>
      </c>
    </row>
    <row r="93" spans="1:22" s="167" customFormat="1" ht="37.5" x14ac:dyDescent="0.25">
      <c r="A93" s="42" t="s">
        <v>488</v>
      </c>
      <c r="B93" s="165"/>
      <c r="C93" s="258">
        <v>40447.211805555555</v>
      </c>
      <c r="D93" s="170">
        <v>49.8</v>
      </c>
      <c r="E93" s="170">
        <v>-2.9</v>
      </c>
      <c r="F93" s="46">
        <f>-LOG((1/(D93^2))*(2.511^(-E93)))/LOG(2.511)</f>
        <v>5.5894000065383844</v>
      </c>
      <c r="G93" s="170">
        <v>261.3</v>
      </c>
      <c r="H93" s="170">
        <v>202.6</v>
      </c>
      <c r="I93" s="170">
        <v>49.7</v>
      </c>
      <c r="J93" s="164" t="s">
        <v>435</v>
      </c>
      <c r="K93" s="164" t="s">
        <v>435</v>
      </c>
      <c r="L93" s="198"/>
      <c r="M93" s="200"/>
      <c r="N93" s="200"/>
      <c r="O93" s="200"/>
      <c r="P93" s="200"/>
      <c r="Q93" s="170">
        <v>43</v>
      </c>
      <c r="R93" s="224">
        <v>0.8</v>
      </c>
      <c r="S93" s="201"/>
      <c r="T93" s="201">
        <v>1</v>
      </c>
      <c r="U93" s="51" t="s">
        <v>618</v>
      </c>
      <c r="V93" s="178">
        <v>40463</v>
      </c>
    </row>
    <row r="94" spans="1:22" s="167" customFormat="1" ht="50" x14ac:dyDescent="0.25">
      <c r="A94" s="42" t="s">
        <v>488</v>
      </c>
      <c r="B94" s="165"/>
      <c r="C94" s="106">
        <v>40448.166666666664</v>
      </c>
      <c r="D94" s="199"/>
      <c r="E94" s="199"/>
      <c r="F94" s="199"/>
      <c r="G94" s="199"/>
      <c r="H94" s="199"/>
      <c r="I94" s="199"/>
      <c r="J94" s="164" t="s">
        <v>435</v>
      </c>
      <c r="K94" s="164"/>
      <c r="L94" s="164"/>
      <c r="M94" s="164" t="s">
        <v>435</v>
      </c>
      <c r="N94" s="197"/>
      <c r="O94" s="200"/>
      <c r="P94" s="200"/>
      <c r="Q94" s="199"/>
      <c r="R94" s="229"/>
      <c r="S94" s="201"/>
      <c r="T94" s="201"/>
      <c r="U94" s="51" t="s">
        <v>621</v>
      </c>
      <c r="V94" s="178">
        <v>40452</v>
      </c>
    </row>
    <row r="95" spans="1:22" s="167" customFormat="1" ht="37.5" x14ac:dyDescent="0.25">
      <c r="B95" s="165"/>
      <c r="C95" s="106">
        <v>40448.1875</v>
      </c>
      <c r="D95" s="199"/>
      <c r="E95" s="199"/>
      <c r="F95" s="199"/>
      <c r="G95" s="199"/>
      <c r="H95" s="199"/>
      <c r="I95" s="199"/>
      <c r="J95" s="164"/>
      <c r="K95" s="164"/>
      <c r="L95" s="164" t="s">
        <v>435</v>
      </c>
      <c r="M95" s="197"/>
      <c r="N95" s="164" t="s">
        <v>435</v>
      </c>
      <c r="O95" s="200"/>
      <c r="P95" s="200"/>
      <c r="Q95" s="199"/>
      <c r="R95" s="229"/>
      <c r="S95" s="201"/>
      <c r="T95" s="201"/>
      <c r="U95" s="51" t="s">
        <v>622</v>
      </c>
      <c r="V95" s="178">
        <v>40452</v>
      </c>
    </row>
    <row r="96" spans="1:22" s="167" customFormat="1" ht="50" x14ac:dyDescent="0.25">
      <c r="A96" s="42" t="s">
        <v>488</v>
      </c>
      <c r="B96" s="165"/>
      <c r="C96" s="106">
        <v>40448.208333333336</v>
      </c>
      <c r="D96" s="199"/>
      <c r="E96" s="199"/>
      <c r="F96" s="199"/>
      <c r="G96" s="199"/>
      <c r="H96" s="199"/>
      <c r="I96" s="199"/>
      <c r="J96" s="164" t="s">
        <v>435</v>
      </c>
      <c r="K96" s="164"/>
      <c r="L96" s="164"/>
      <c r="M96" s="164" t="s">
        <v>435</v>
      </c>
      <c r="N96" s="197"/>
      <c r="O96" s="200"/>
      <c r="P96" s="200"/>
      <c r="Q96" s="199"/>
      <c r="R96" s="229"/>
      <c r="S96" s="201"/>
      <c r="T96" s="201"/>
      <c r="U96" s="51" t="s">
        <v>623</v>
      </c>
      <c r="V96" s="178">
        <v>40452</v>
      </c>
    </row>
    <row r="97" spans="1:22" s="167" customFormat="1" ht="25" x14ac:dyDescent="0.25">
      <c r="A97" s="42" t="s">
        <v>595</v>
      </c>
      <c r="B97" s="165"/>
      <c r="C97" s="259">
        <v>40466.214583333334</v>
      </c>
      <c r="D97" s="170">
        <v>48.7</v>
      </c>
      <c r="E97" s="170">
        <v>-2.9</v>
      </c>
      <c r="F97" s="46">
        <f>-LOG((1/(D97^2))*(2.511^(-E97)))/LOG(2.511)</f>
        <v>5.5408795048727981</v>
      </c>
      <c r="G97" s="170">
        <v>25.6</v>
      </c>
      <c r="H97" s="170">
        <v>181.9</v>
      </c>
      <c r="I97" s="170">
        <v>34.1</v>
      </c>
      <c r="J97" s="197" t="s">
        <v>435</v>
      </c>
      <c r="K97" s="197" t="s">
        <v>435</v>
      </c>
      <c r="L97" s="197" t="s">
        <v>435</v>
      </c>
      <c r="M97" s="197"/>
      <c r="N97" s="197"/>
      <c r="O97" s="197"/>
      <c r="P97" s="197"/>
      <c r="Q97" s="170">
        <v>47</v>
      </c>
      <c r="R97" s="224"/>
      <c r="S97" s="167">
        <v>0</v>
      </c>
      <c r="T97" s="167">
        <v>1</v>
      </c>
      <c r="U97" s="51" t="s">
        <v>682</v>
      </c>
      <c r="V97" s="178">
        <v>40528</v>
      </c>
    </row>
    <row r="98" spans="1:22" s="167" customFormat="1" ht="25" x14ac:dyDescent="0.25">
      <c r="A98" s="42" t="s">
        <v>595</v>
      </c>
      <c r="B98" s="165"/>
      <c r="C98" s="106">
        <v>40466.26458333333</v>
      </c>
      <c r="D98" s="170">
        <v>48.7</v>
      </c>
      <c r="E98" s="170">
        <v>-2.9</v>
      </c>
      <c r="F98" s="46">
        <f>-LOG((1/(D98^2))*(2.511^(-E98)))/LOG(2.511)</f>
        <v>5.5408795048727981</v>
      </c>
      <c r="G98" s="170">
        <v>69.5</v>
      </c>
      <c r="H98" s="170">
        <v>225.5</v>
      </c>
      <c r="I98" s="170">
        <v>77.599999999999994</v>
      </c>
      <c r="J98" s="197" t="s">
        <v>435</v>
      </c>
      <c r="K98" s="197"/>
      <c r="L98" s="197"/>
      <c r="M98" s="197"/>
      <c r="N98" s="197"/>
      <c r="O98" s="197"/>
      <c r="P98" s="197"/>
      <c r="Q98" s="170">
        <v>44</v>
      </c>
      <c r="R98" s="224"/>
      <c r="S98" s="167">
        <v>0</v>
      </c>
      <c r="T98" s="167">
        <v>1</v>
      </c>
      <c r="U98" s="51" t="s">
        <v>683</v>
      </c>
      <c r="V98" s="178">
        <v>40528</v>
      </c>
    </row>
    <row r="99" spans="1:22" s="167" customFormat="1" ht="87.5" x14ac:dyDescent="0.25">
      <c r="A99" s="42" t="s">
        <v>488</v>
      </c>
      <c r="B99" s="165"/>
      <c r="C99" s="106">
        <v>40537.112500000003</v>
      </c>
      <c r="D99" s="170">
        <v>39.200000000000003</v>
      </c>
      <c r="E99" s="170">
        <v>-2.4</v>
      </c>
      <c r="F99" s="46">
        <f>-LOG((1/(D99^2))*(2.511^(-E99)))/LOG(2.511)</f>
        <v>5.5694843867048984</v>
      </c>
      <c r="G99" s="170">
        <v>341.4</v>
      </c>
      <c r="H99" s="170">
        <v>316.89999999999998</v>
      </c>
      <c r="I99" s="170">
        <v>187.9</v>
      </c>
      <c r="J99" s="164" t="s">
        <v>435</v>
      </c>
      <c r="K99" s="164"/>
      <c r="L99" s="197"/>
      <c r="M99" s="164" t="s">
        <v>435</v>
      </c>
      <c r="N99" s="164" t="s">
        <v>435</v>
      </c>
      <c r="O99" s="164" t="s">
        <v>435</v>
      </c>
      <c r="P99" s="197"/>
      <c r="Q99" s="170">
        <v>42</v>
      </c>
      <c r="R99" s="224">
        <v>0.6</v>
      </c>
      <c r="S99" s="167">
        <v>0</v>
      </c>
      <c r="T99" s="167">
        <v>1</v>
      </c>
      <c r="U99" s="51" t="s">
        <v>688</v>
      </c>
      <c r="V99" s="178">
        <v>40538</v>
      </c>
    </row>
    <row r="100" spans="1:22" s="167" customFormat="1" ht="51" x14ac:dyDescent="0.25">
      <c r="A100" s="167" t="s">
        <v>488</v>
      </c>
      <c r="B100" s="165"/>
      <c r="C100" s="257">
        <v>40888.158333333333</v>
      </c>
      <c r="D100" s="170"/>
      <c r="E100" s="170"/>
      <c r="F100" s="170"/>
      <c r="G100" s="170"/>
      <c r="H100" s="170"/>
      <c r="I100" s="170"/>
      <c r="J100" s="197" t="s">
        <v>435</v>
      </c>
      <c r="K100" s="197" t="s">
        <v>435</v>
      </c>
      <c r="L100" s="197" t="s">
        <v>435</v>
      </c>
      <c r="M100" s="197" t="s">
        <v>435</v>
      </c>
      <c r="N100" s="197" t="s">
        <v>435</v>
      </c>
      <c r="O100" s="197" t="s">
        <v>435</v>
      </c>
      <c r="P100" s="197"/>
      <c r="Q100" s="170"/>
      <c r="R100" s="224">
        <v>0.8</v>
      </c>
      <c r="S100" s="167">
        <v>0</v>
      </c>
      <c r="T100" s="167">
        <v>1</v>
      </c>
      <c r="U100" s="51" t="s">
        <v>755</v>
      </c>
      <c r="V100" s="178">
        <v>40904</v>
      </c>
    </row>
    <row r="101" spans="1:22" s="167" customFormat="1" ht="37.5" x14ac:dyDescent="0.25">
      <c r="A101" s="167" t="s">
        <v>488</v>
      </c>
      <c r="B101" s="165"/>
      <c r="C101" s="257">
        <v>40888.223611111112</v>
      </c>
      <c r="D101" s="170"/>
      <c r="E101" s="170"/>
      <c r="F101" s="170"/>
      <c r="G101" s="170"/>
      <c r="H101" s="170"/>
      <c r="I101" s="170"/>
      <c r="J101" s="164" t="s">
        <v>435</v>
      </c>
      <c r="K101" s="197" t="s">
        <v>435</v>
      </c>
      <c r="L101" s="197"/>
      <c r="M101" s="197"/>
      <c r="N101" s="197"/>
      <c r="O101" s="197"/>
      <c r="P101" s="197"/>
      <c r="Q101" s="170"/>
      <c r="R101" s="224">
        <v>0.8</v>
      </c>
      <c r="S101" s="167">
        <v>0</v>
      </c>
      <c r="T101" s="167">
        <v>1</v>
      </c>
      <c r="U101" s="51" t="s">
        <v>742</v>
      </c>
      <c r="V101" s="178">
        <v>40904</v>
      </c>
    </row>
    <row r="102" spans="1:22" s="167" customFormat="1" ht="37.5" x14ac:dyDescent="0.25">
      <c r="A102" s="167" t="s">
        <v>488</v>
      </c>
      <c r="B102" s="165"/>
      <c r="C102" s="257">
        <v>40888.251388888886</v>
      </c>
      <c r="D102" s="170"/>
      <c r="E102" s="170"/>
      <c r="F102" s="170"/>
      <c r="G102" s="170"/>
      <c r="H102" s="170"/>
      <c r="I102" s="170"/>
      <c r="J102" s="197"/>
      <c r="K102" s="197" t="s">
        <v>435</v>
      </c>
      <c r="L102" s="197" t="s">
        <v>435</v>
      </c>
      <c r="M102" s="197"/>
      <c r="N102" s="197"/>
      <c r="O102" s="197" t="s">
        <v>435</v>
      </c>
      <c r="P102" s="197"/>
      <c r="Q102" s="170"/>
      <c r="R102" s="224">
        <v>0.8</v>
      </c>
      <c r="S102" s="167">
        <v>0</v>
      </c>
      <c r="T102" s="167">
        <v>1</v>
      </c>
      <c r="U102" s="51" t="s">
        <v>743</v>
      </c>
      <c r="V102" s="178">
        <v>40904</v>
      </c>
    </row>
    <row r="103" spans="1:22" s="167" customFormat="1" ht="37.5" x14ac:dyDescent="0.25">
      <c r="A103" s="167" t="s">
        <v>488</v>
      </c>
      <c r="B103" s="165"/>
      <c r="C103" s="257">
        <v>40888.256944444445</v>
      </c>
      <c r="D103" s="170"/>
      <c r="E103" s="170"/>
      <c r="F103" s="170"/>
      <c r="G103" s="170"/>
      <c r="H103" s="170"/>
      <c r="I103" s="170"/>
      <c r="J103" s="197"/>
      <c r="K103" s="197" t="s">
        <v>435</v>
      </c>
      <c r="L103" s="197"/>
      <c r="M103" s="197"/>
      <c r="N103" s="197" t="s">
        <v>435</v>
      </c>
      <c r="O103" s="197"/>
      <c r="P103" s="197"/>
      <c r="Q103" s="170"/>
      <c r="R103" s="224">
        <v>0.8</v>
      </c>
      <c r="S103" s="167">
        <v>0</v>
      </c>
      <c r="T103" s="167">
        <v>1</v>
      </c>
      <c r="U103" s="51" t="s">
        <v>744</v>
      </c>
      <c r="V103" s="178">
        <v>40904</v>
      </c>
    </row>
    <row r="104" spans="1:22" s="167" customFormat="1" ht="37.5" x14ac:dyDescent="0.25">
      <c r="A104" s="167" t="s">
        <v>488</v>
      </c>
      <c r="B104" s="165"/>
      <c r="C104" s="257">
        <v>40888.263194444444</v>
      </c>
      <c r="D104" s="170"/>
      <c r="E104" s="170"/>
      <c r="F104" s="170"/>
      <c r="G104" s="170"/>
      <c r="H104" s="170"/>
      <c r="I104" s="170"/>
      <c r="J104" s="197"/>
      <c r="K104" s="197" t="s">
        <v>435</v>
      </c>
      <c r="L104" s="197"/>
      <c r="M104" s="197" t="s">
        <v>435</v>
      </c>
      <c r="N104" s="197"/>
      <c r="O104" s="197"/>
      <c r="P104" s="197"/>
      <c r="Q104" s="170"/>
      <c r="R104" s="224">
        <v>0.8</v>
      </c>
      <c r="S104" s="167">
        <v>0</v>
      </c>
      <c r="T104" s="167">
        <v>1</v>
      </c>
      <c r="U104" s="51" t="s">
        <v>745</v>
      </c>
      <c r="V104" s="178">
        <v>40904</v>
      </c>
    </row>
    <row r="105" spans="1:22" s="167" customFormat="1" ht="37.5" x14ac:dyDescent="0.25">
      <c r="A105" s="167" t="s">
        <v>488</v>
      </c>
      <c r="B105" s="165"/>
      <c r="C105" s="257">
        <v>40888.270833333336</v>
      </c>
      <c r="D105" s="170"/>
      <c r="E105" s="170"/>
      <c r="F105" s="170"/>
      <c r="G105" s="170"/>
      <c r="H105" s="170"/>
      <c r="I105" s="170"/>
      <c r="J105" s="197" t="s">
        <v>435</v>
      </c>
      <c r="K105" s="197" t="s">
        <v>435</v>
      </c>
      <c r="L105" s="197" t="s">
        <v>435</v>
      </c>
      <c r="M105" s="197"/>
      <c r="N105" s="197"/>
      <c r="O105" s="197" t="s">
        <v>435</v>
      </c>
      <c r="P105" s="197"/>
      <c r="Q105" s="170"/>
      <c r="R105" s="224">
        <v>0.8</v>
      </c>
      <c r="S105" s="167">
        <v>0</v>
      </c>
      <c r="T105" s="167">
        <v>1</v>
      </c>
      <c r="U105" s="51" t="s">
        <v>742</v>
      </c>
      <c r="V105" s="178">
        <v>40904</v>
      </c>
    </row>
    <row r="106" spans="1:22" s="167" customFormat="1" ht="25" x14ac:dyDescent="0.25">
      <c r="A106" s="167" t="s">
        <v>488</v>
      </c>
      <c r="B106" s="165"/>
      <c r="C106" s="106">
        <v>40918.11041666667</v>
      </c>
      <c r="D106" s="170"/>
      <c r="E106" s="170"/>
      <c r="F106" s="170"/>
      <c r="G106" s="170"/>
      <c r="H106" s="170"/>
      <c r="I106" s="170"/>
      <c r="J106" s="197" t="s">
        <v>435</v>
      </c>
      <c r="K106" s="197"/>
      <c r="L106" s="197"/>
      <c r="M106" s="197"/>
      <c r="N106" s="197"/>
      <c r="O106" s="197"/>
      <c r="P106" s="197"/>
      <c r="Q106" s="170"/>
      <c r="R106" s="224">
        <v>0.8</v>
      </c>
      <c r="S106" s="167">
        <v>0</v>
      </c>
      <c r="T106" s="167">
        <v>1</v>
      </c>
      <c r="U106" s="158" t="s">
        <v>778</v>
      </c>
      <c r="V106" s="178">
        <v>41747</v>
      </c>
    </row>
    <row r="107" spans="1:22" s="167" customFormat="1" ht="25" x14ac:dyDescent="0.25">
      <c r="A107" s="42" t="s">
        <v>488</v>
      </c>
      <c r="B107" s="165"/>
      <c r="C107" s="106">
        <v>40918.123611111114</v>
      </c>
      <c r="D107" s="170"/>
      <c r="E107" s="170"/>
      <c r="F107" s="170"/>
      <c r="G107" s="170"/>
      <c r="H107" s="170"/>
      <c r="I107" s="170"/>
      <c r="J107" s="197"/>
      <c r="K107" s="197"/>
      <c r="L107" s="197"/>
      <c r="M107" s="197"/>
      <c r="N107" s="164" t="s">
        <v>435</v>
      </c>
      <c r="O107" s="197"/>
      <c r="P107" s="197"/>
      <c r="Q107" s="170"/>
      <c r="R107" s="224">
        <v>0.8</v>
      </c>
      <c r="S107" s="167">
        <v>0</v>
      </c>
      <c r="T107" s="167">
        <v>1</v>
      </c>
      <c r="U107" s="158" t="s">
        <v>779</v>
      </c>
      <c r="V107" s="178">
        <v>41747</v>
      </c>
    </row>
    <row r="108" spans="1:22" s="167" customFormat="1" ht="25" x14ac:dyDescent="0.25">
      <c r="A108" s="167" t="s">
        <v>488</v>
      </c>
      <c r="B108" s="165"/>
      <c r="C108" s="106">
        <v>40918.193055555559</v>
      </c>
      <c r="D108" s="170"/>
      <c r="E108" s="170"/>
      <c r="F108" s="170"/>
      <c r="G108" s="170"/>
      <c r="H108" s="170"/>
      <c r="I108" s="170"/>
      <c r="J108" s="197" t="s">
        <v>435</v>
      </c>
      <c r="K108" s="197"/>
      <c r="L108" s="197"/>
      <c r="M108" s="197"/>
      <c r="N108" s="197"/>
      <c r="O108" s="197"/>
      <c r="P108" s="197"/>
      <c r="Q108" s="170"/>
      <c r="R108" s="224">
        <v>0.8</v>
      </c>
      <c r="S108" s="167">
        <v>0</v>
      </c>
      <c r="T108" s="167">
        <v>1</v>
      </c>
      <c r="U108" s="158" t="s">
        <v>778</v>
      </c>
      <c r="V108" s="178">
        <v>41747</v>
      </c>
    </row>
    <row r="109" spans="1:22" s="167" customFormat="1" x14ac:dyDescent="0.25">
      <c r="A109" s="167" t="s">
        <v>488</v>
      </c>
      <c r="B109" s="165"/>
      <c r="C109" s="106">
        <v>40975.083333333336</v>
      </c>
      <c r="D109" s="170"/>
      <c r="E109" s="170"/>
      <c r="F109" s="46"/>
      <c r="G109" s="170"/>
      <c r="H109" s="170"/>
      <c r="I109" s="170"/>
      <c r="J109" s="164" t="s">
        <v>435</v>
      </c>
      <c r="K109" s="164"/>
      <c r="L109" s="164"/>
      <c r="M109" s="164"/>
      <c r="N109" s="164"/>
      <c r="O109" s="164"/>
      <c r="P109" s="197"/>
      <c r="Q109" s="170"/>
      <c r="R109" s="224"/>
      <c r="S109" s="167">
        <v>1</v>
      </c>
      <c r="T109" s="167">
        <v>0</v>
      </c>
      <c r="U109" s="158" t="s">
        <v>780</v>
      </c>
      <c r="V109" s="178">
        <v>41747</v>
      </c>
    </row>
    <row r="110" spans="1:22" s="167" customFormat="1" ht="87.5" x14ac:dyDescent="0.25">
      <c r="A110" s="167" t="s">
        <v>488</v>
      </c>
      <c r="B110" s="165"/>
      <c r="C110" s="258">
        <v>40977.106944444444</v>
      </c>
      <c r="D110" s="170">
        <v>35.200000000000003</v>
      </c>
      <c r="E110" s="170">
        <v>-2.1</v>
      </c>
      <c r="F110" s="46">
        <f>-LOG((1/(D110^2))*(2.511^(-E110)))/LOG(2.511)</f>
        <v>5.6356777700383436</v>
      </c>
      <c r="G110" s="170">
        <v>286.89999999999998</v>
      </c>
      <c r="H110" s="170">
        <v>145.19999999999999</v>
      </c>
      <c r="I110" s="170">
        <v>133.6</v>
      </c>
      <c r="J110" s="197" t="s">
        <v>435</v>
      </c>
      <c r="K110" s="197" t="s">
        <v>435</v>
      </c>
      <c r="L110" s="197" t="s">
        <v>435</v>
      </c>
      <c r="M110" s="164" t="s">
        <v>435</v>
      </c>
      <c r="N110" s="164" t="s">
        <v>435</v>
      </c>
      <c r="O110" s="197"/>
      <c r="P110" s="197"/>
      <c r="Q110" s="170">
        <v>28</v>
      </c>
      <c r="R110" s="224">
        <v>0.8</v>
      </c>
      <c r="S110" s="167">
        <v>0</v>
      </c>
      <c r="T110" s="167">
        <v>1</v>
      </c>
      <c r="U110" s="158" t="s">
        <v>754</v>
      </c>
      <c r="V110" s="178">
        <v>41747</v>
      </c>
    </row>
    <row r="111" spans="1:22" s="167" customFormat="1" ht="62.5" x14ac:dyDescent="0.25">
      <c r="B111" s="165"/>
      <c r="C111" s="258">
        <v>41265.247916666667</v>
      </c>
      <c r="D111" s="170"/>
      <c r="E111" s="170"/>
      <c r="F111" s="170"/>
      <c r="G111" s="170"/>
      <c r="H111" s="170"/>
      <c r="I111" s="170"/>
      <c r="J111" s="197" t="s">
        <v>435</v>
      </c>
      <c r="K111" s="197" t="s">
        <v>435</v>
      </c>
      <c r="L111" s="197"/>
      <c r="M111" s="197" t="s">
        <v>435</v>
      </c>
      <c r="N111" s="197"/>
      <c r="O111" s="197" t="s">
        <v>435</v>
      </c>
      <c r="P111" s="197"/>
      <c r="Q111" s="170"/>
      <c r="R111" s="224">
        <v>0.6</v>
      </c>
      <c r="S111" s="167">
        <v>0</v>
      </c>
      <c r="T111" s="167">
        <v>1</v>
      </c>
      <c r="U111" s="165" t="s">
        <v>768</v>
      </c>
      <c r="V111" s="178">
        <v>41747</v>
      </c>
    </row>
    <row r="112" spans="1:22" s="167" customFormat="1" ht="62.5" x14ac:dyDescent="0.25">
      <c r="B112" s="165"/>
      <c r="C112" s="258">
        <v>41265.256249999999</v>
      </c>
      <c r="D112" s="170"/>
      <c r="E112" s="170"/>
      <c r="F112" s="170"/>
      <c r="G112" s="170"/>
      <c r="H112" s="170"/>
      <c r="I112" s="170"/>
      <c r="J112" s="197" t="s">
        <v>435</v>
      </c>
      <c r="K112" s="197" t="s">
        <v>435</v>
      </c>
      <c r="L112" s="197"/>
      <c r="M112" s="197" t="s">
        <v>435</v>
      </c>
      <c r="N112" s="197"/>
      <c r="O112" s="197" t="s">
        <v>435</v>
      </c>
      <c r="P112" s="197"/>
      <c r="Q112" s="170"/>
      <c r="R112" s="224">
        <v>0.6</v>
      </c>
      <c r="S112" s="167">
        <v>0</v>
      </c>
      <c r="T112" s="167">
        <v>1</v>
      </c>
      <c r="U112" s="51" t="s">
        <v>769</v>
      </c>
      <c r="V112" s="178">
        <v>41747</v>
      </c>
    </row>
    <row r="113" spans="2:22" s="167" customFormat="1" ht="62.5" x14ac:dyDescent="0.25">
      <c r="B113" s="165"/>
      <c r="C113" s="258">
        <v>41265.265277777777</v>
      </c>
      <c r="D113" s="170"/>
      <c r="E113" s="170"/>
      <c r="F113" s="170"/>
      <c r="G113" s="170"/>
      <c r="H113" s="170"/>
      <c r="I113" s="170"/>
      <c r="J113" s="197" t="s">
        <v>435</v>
      </c>
      <c r="K113" s="197" t="s">
        <v>435</v>
      </c>
      <c r="L113" s="197"/>
      <c r="M113" s="197" t="s">
        <v>435</v>
      </c>
      <c r="N113" s="197"/>
      <c r="O113" s="197" t="s">
        <v>435</v>
      </c>
      <c r="P113" s="197"/>
      <c r="Q113" s="170"/>
      <c r="R113" s="224">
        <v>0.6</v>
      </c>
      <c r="S113" s="167">
        <v>0</v>
      </c>
      <c r="T113" s="167">
        <v>1</v>
      </c>
      <c r="U113" s="51" t="s">
        <v>770</v>
      </c>
      <c r="V113" s="178">
        <v>41747</v>
      </c>
    </row>
    <row r="114" spans="2:22" s="167" customFormat="1" ht="62.5" x14ac:dyDescent="0.25">
      <c r="B114" s="165"/>
      <c r="C114" s="258">
        <v>41265.273611111108</v>
      </c>
      <c r="D114" s="170"/>
      <c r="E114" s="170"/>
      <c r="F114" s="170"/>
      <c r="G114" s="170"/>
      <c r="H114" s="170"/>
      <c r="I114" s="170"/>
      <c r="J114" s="197" t="s">
        <v>435</v>
      </c>
      <c r="K114" s="197" t="s">
        <v>435</v>
      </c>
      <c r="L114" s="197"/>
      <c r="M114" s="197" t="s">
        <v>435</v>
      </c>
      <c r="N114" s="197"/>
      <c r="O114" s="197" t="s">
        <v>435</v>
      </c>
      <c r="P114" s="197"/>
      <c r="Q114" s="170"/>
      <c r="R114" s="224">
        <v>0.6</v>
      </c>
      <c r="S114" s="167">
        <v>0</v>
      </c>
      <c r="T114" s="167">
        <v>1</v>
      </c>
      <c r="U114" s="51" t="s">
        <v>771</v>
      </c>
      <c r="V114" s="178">
        <v>41747</v>
      </c>
    </row>
    <row r="115" spans="2:22" s="167" customFormat="1" ht="62.5" x14ac:dyDescent="0.25">
      <c r="B115" s="165"/>
      <c r="C115" s="258">
        <v>41265.281944444447</v>
      </c>
      <c r="D115" s="170"/>
      <c r="E115" s="170"/>
      <c r="F115" s="170"/>
      <c r="G115" s="170"/>
      <c r="H115" s="170"/>
      <c r="I115" s="170"/>
      <c r="J115" s="197" t="s">
        <v>435</v>
      </c>
      <c r="K115" s="197" t="s">
        <v>435</v>
      </c>
      <c r="L115" s="197"/>
      <c r="M115" s="197" t="s">
        <v>435</v>
      </c>
      <c r="N115" s="197"/>
      <c r="O115" s="197" t="s">
        <v>435</v>
      </c>
      <c r="P115" s="197"/>
      <c r="Q115" s="170"/>
      <c r="R115" s="224">
        <v>0.6</v>
      </c>
      <c r="S115" s="167">
        <v>0</v>
      </c>
      <c r="T115" s="167">
        <v>1</v>
      </c>
      <c r="U115" s="51" t="s">
        <v>772</v>
      </c>
      <c r="V115" s="178">
        <v>41747</v>
      </c>
    </row>
    <row r="116" spans="2:22" s="167" customFormat="1" ht="37.5" x14ac:dyDescent="0.25">
      <c r="B116" s="165"/>
      <c r="C116" s="258">
        <v>41265.301944444444</v>
      </c>
      <c r="D116" s="170"/>
      <c r="E116" s="170"/>
      <c r="F116" s="170"/>
      <c r="G116" s="170"/>
      <c r="H116" s="170"/>
      <c r="I116" s="170"/>
      <c r="J116" s="197" t="s">
        <v>435</v>
      </c>
      <c r="K116" s="197" t="s">
        <v>435</v>
      </c>
      <c r="L116" s="197"/>
      <c r="M116" s="197"/>
      <c r="N116" s="197"/>
      <c r="O116" s="197" t="s">
        <v>435</v>
      </c>
      <c r="P116" s="197"/>
      <c r="Q116" s="170"/>
      <c r="R116" s="224">
        <v>0.6</v>
      </c>
      <c r="S116" s="167">
        <v>0</v>
      </c>
      <c r="T116" s="167">
        <v>1</v>
      </c>
      <c r="U116" s="51" t="s">
        <v>774</v>
      </c>
      <c r="V116" s="178">
        <v>41747</v>
      </c>
    </row>
    <row r="117" spans="2:22" s="167" customFormat="1" ht="37.5" x14ac:dyDescent="0.25">
      <c r="B117" s="165"/>
      <c r="C117" s="257">
        <v>41266.301944444444</v>
      </c>
      <c r="D117" s="170"/>
      <c r="E117" s="170"/>
      <c r="F117" s="170"/>
      <c r="G117" s="170"/>
      <c r="H117" s="170"/>
      <c r="I117" s="170"/>
      <c r="J117" s="197" t="s">
        <v>435</v>
      </c>
      <c r="K117" s="197" t="s">
        <v>435</v>
      </c>
      <c r="L117" s="197" t="s">
        <v>435</v>
      </c>
      <c r="M117" s="197"/>
      <c r="N117" s="197"/>
      <c r="O117" s="197" t="s">
        <v>435</v>
      </c>
      <c r="P117" s="197"/>
      <c r="Q117" s="170"/>
      <c r="R117" s="224">
        <v>0.4</v>
      </c>
      <c r="S117" s="167">
        <v>0</v>
      </c>
      <c r="T117" s="167">
        <v>1</v>
      </c>
      <c r="U117" s="51" t="s">
        <v>781</v>
      </c>
      <c r="V117" s="178">
        <v>41747</v>
      </c>
    </row>
    <row r="118" spans="2:22" s="167" customFormat="1" ht="62.5" x14ac:dyDescent="0.25">
      <c r="B118" s="165"/>
      <c r="C118" s="257">
        <v>41266.326388888891</v>
      </c>
      <c r="D118" s="170"/>
      <c r="E118" s="170"/>
      <c r="F118" s="170"/>
      <c r="G118" s="170"/>
      <c r="H118" s="170"/>
      <c r="I118" s="170"/>
      <c r="J118" s="197" t="s">
        <v>435</v>
      </c>
      <c r="K118" s="197" t="s">
        <v>435</v>
      </c>
      <c r="L118" s="197"/>
      <c r="M118" s="197" t="s">
        <v>435</v>
      </c>
      <c r="N118" s="197" t="s">
        <v>435</v>
      </c>
      <c r="O118" s="197" t="s">
        <v>435</v>
      </c>
      <c r="P118" s="197"/>
      <c r="Q118" s="170"/>
      <c r="R118" s="224">
        <v>0.4</v>
      </c>
      <c r="S118" s="167">
        <v>0</v>
      </c>
      <c r="T118" s="167">
        <v>1</v>
      </c>
      <c r="U118" s="51" t="s">
        <v>775</v>
      </c>
      <c r="V118" s="178">
        <v>41747</v>
      </c>
    </row>
    <row r="119" spans="2:22" s="167" customFormat="1" ht="50" x14ac:dyDescent="0.25">
      <c r="B119" s="165"/>
      <c r="C119" s="257">
        <v>41266.331250000003</v>
      </c>
      <c r="D119" s="170"/>
      <c r="E119" s="170"/>
      <c r="F119" s="170"/>
      <c r="G119" s="170"/>
      <c r="H119" s="170"/>
      <c r="I119" s="170"/>
      <c r="J119" s="197" t="s">
        <v>435</v>
      </c>
      <c r="K119" s="197" t="s">
        <v>435</v>
      </c>
      <c r="L119" s="197"/>
      <c r="M119" s="197" t="s">
        <v>435</v>
      </c>
      <c r="N119" s="197" t="s">
        <v>435</v>
      </c>
      <c r="O119" s="197" t="s">
        <v>435</v>
      </c>
      <c r="P119" s="197"/>
      <c r="Q119" s="170"/>
      <c r="R119" s="224">
        <v>0.4</v>
      </c>
      <c r="S119" s="167">
        <v>0</v>
      </c>
      <c r="T119" s="167">
        <v>1</v>
      </c>
      <c r="U119" s="51" t="s">
        <v>776</v>
      </c>
      <c r="V119" s="178">
        <v>41747</v>
      </c>
    </row>
    <row r="120" spans="2:22" s="167" customFormat="1" ht="62.5" x14ac:dyDescent="0.25">
      <c r="B120" s="165"/>
      <c r="C120" s="257">
        <v>41266.335416666669</v>
      </c>
      <c r="D120" s="170"/>
      <c r="E120" s="170"/>
      <c r="F120" s="170"/>
      <c r="G120" s="170"/>
      <c r="H120" s="170"/>
      <c r="I120" s="170"/>
      <c r="J120" s="197" t="s">
        <v>435</v>
      </c>
      <c r="K120" s="197" t="s">
        <v>435</v>
      </c>
      <c r="L120" s="197"/>
      <c r="M120" s="197" t="s">
        <v>435</v>
      </c>
      <c r="N120" s="197" t="s">
        <v>435</v>
      </c>
      <c r="O120" s="197" t="s">
        <v>435</v>
      </c>
      <c r="P120" s="197"/>
      <c r="Q120" s="170"/>
      <c r="R120" s="224">
        <v>0.4</v>
      </c>
      <c r="S120" s="167">
        <v>0</v>
      </c>
      <c r="T120" s="167">
        <v>1</v>
      </c>
      <c r="U120" s="51" t="s">
        <v>777</v>
      </c>
      <c r="V120" s="178">
        <v>41747</v>
      </c>
    </row>
    <row r="121" spans="2:22" s="167" customFormat="1" ht="25" x14ac:dyDescent="0.25">
      <c r="B121" s="165"/>
      <c r="C121" s="106">
        <v>41280.177083333336</v>
      </c>
      <c r="D121" s="170"/>
      <c r="E121" s="170"/>
      <c r="F121" s="170"/>
      <c r="G121" s="170"/>
      <c r="H121" s="170"/>
      <c r="I121" s="170"/>
      <c r="J121" s="197" t="s">
        <v>435</v>
      </c>
      <c r="K121" s="197"/>
      <c r="L121" s="197"/>
      <c r="M121" s="197"/>
      <c r="N121" s="197"/>
      <c r="O121" s="197"/>
      <c r="P121" s="197"/>
      <c r="Q121" s="170"/>
      <c r="R121" s="224"/>
      <c r="S121" s="167">
        <v>0</v>
      </c>
      <c r="T121" s="167">
        <v>1</v>
      </c>
      <c r="U121" s="51" t="s">
        <v>782</v>
      </c>
      <c r="V121" s="178">
        <v>41754</v>
      </c>
    </row>
    <row r="122" spans="2:22" s="167" customFormat="1" ht="25" x14ac:dyDescent="0.25">
      <c r="B122" s="165"/>
      <c r="C122" s="106">
        <v>41280.177083333336</v>
      </c>
      <c r="D122" s="170"/>
      <c r="E122" s="170"/>
      <c r="F122" s="170"/>
      <c r="G122" s="170"/>
      <c r="H122" s="170"/>
      <c r="I122" s="170"/>
      <c r="J122" s="197" t="s">
        <v>435</v>
      </c>
      <c r="K122" s="197"/>
      <c r="L122" s="197"/>
      <c r="M122" s="197"/>
      <c r="N122" s="197"/>
      <c r="O122" s="197"/>
      <c r="P122" s="197"/>
      <c r="Q122" s="170"/>
      <c r="R122" s="224"/>
      <c r="S122" s="167">
        <v>0</v>
      </c>
      <c r="T122" s="167">
        <v>1</v>
      </c>
      <c r="U122" s="51" t="s">
        <v>782</v>
      </c>
      <c r="V122" s="178">
        <v>41754</v>
      </c>
    </row>
    <row r="123" spans="2:22" s="167" customFormat="1" ht="37.5" x14ac:dyDescent="0.25">
      <c r="B123" s="165"/>
      <c r="C123" s="106">
        <v>41280.213888888888</v>
      </c>
      <c r="D123" s="170"/>
      <c r="E123" s="170"/>
      <c r="F123" s="170"/>
      <c r="G123" s="170"/>
      <c r="H123" s="170"/>
      <c r="I123" s="170"/>
      <c r="J123" s="197" t="s">
        <v>435</v>
      </c>
      <c r="K123" s="197"/>
      <c r="L123" s="197"/>
      <c r="M123" s="197"/>
      <c r="N123" s="197"/>
      <c r="O123" s="197"/>
      <c r="P123" s="197"/>
      <c r="Q123" s="170"/>
      <c r="R123" s="224"/>
      <c r="S123" s="167">
        <v>0</v>
      </c>
      <c r="T123" s="167">
        <v>1</v>
      </c>
      <c r="U123" s="51" t="s">
        <v>787</v>
      </c>
      <c r="V123" s="178">
        <v>41754</v>
      </c>
    </row>
    <row r="124" spans="2:22" s="167" customFormat="1" ht="37.5" x14ac:dyDescent="0.25">
      <c r="B124" s="165"/>
      <c r="C124" s="106">
        <v>41280.218055555553</v>
      </c>
      <c r="D124" s="170"/>
      <c r="E124" s="170"/>
      <c r="F124" s="170"/>
      <c r="G124" s="170"/>
      <c r="H124" s="170"/>
      <c r="I124" s="170"/>
      <c r="J124" s="197" t="s">
        <v>435</v>
      </c>
      <c r="K124" s="197"/>
      <c r="L124" s="197"/>
      <c r="M124" s="197"/>
      <c r="N124" s="197"/>
      <c r="O124" s="197"/>
      <c r="P124" s="197"/>
      <c r="Q124" s="170"/>
      <c r="R124" s="224"/>
      <c r="S124" s="167">
        <v>0</v>
      </c>
      <c r="T124" s="167">
        <v>1</v>
      </c>
      <c r="U124" s="51" t="s">
        <v>790</v>
      </c>
      <c r="V124" s="178">
        <v>41754</v>
      </c>
    </row>
    <row r="125" spans="2:22" s="167" customFormat="1" ht="37.5" x14ac:dyDescent="0.25">
      <c r="B125" s="165"/>
      <c r="C125" s="106">
        <v>41280.21875</v>
      </c>
      <c r="D125" s="170"/>
      <c r="E125" s="170"/>
      <c r="F125" s="170"/>
      <c r="G125" s="170"/>
      <c r="H125" s="170"/>
      <c r="I125" s="170"/>
      <c r="J125" s="197" t="s">
        <v>435</v>
      </c>
      <c r="K125" s="197"/>
      <c r="L125" s="197"/>
      <c r="M125" s="197"/>
      <c r="N125" s="197"/>
      <c r="O125" s="197"/>
      <c r="P125" s="197"/>
      <c r="Q125" s="170"/>
      <c r="R125" s="224"/>
      <c r="S125" s="167">
        <v>0</v>
      </c>
      <c r="T125" s="167">
        <v>1</v>
      </c>
      <c r="U125" s="51" t="s">
        <v>789</v>
      </c>
      <c r="V125" s="178">
        <v>41754</v>
      </c>
    </row>
    <row r="126" spans="2:22" s="167" customFormat="1" ht="37.5" x14ac:dyDescent="0.25">
      <c r="B126" s="165"/>
      <c r="C126" s="106">
        <v>41280.219444444447</v>
      </c>
      <c r="D126" s="170"/>
      <c r="E126" s="170"/>
      <c r="F126" s="170"/>
      <c r="G126" s="170"/>
      <c r="H126" s="170"/>
      <c r="I126" s="170"/>
      <c r="J126" s="197" t="s">
        <v>435</v>
      </c>
      <c r="K126" s="197"/>
      <c r="L126" s="197"/>
      <c r="M126" s="197"/>
      <c r="N126" s="197"/>
      <c r="O126" s="197"/>
      <c r="P126" s="197"/>
      <c r="Q126" s="170"/>
      <c r="R126" s="224"/>
      <c r="S126" s="167">
        <v>0</v>
      </c>
      <c r="T126" s="167">
        <v>1</v>
      </c>
      <c r="U126" s="51" t="s">
        <v>786</v>
      </c>
      <c r="V126" s="178">
        <v>41754</v>
      </c>
    </row>
    <row r="127" spans="2:22" s="167" customFormat="1" ht="37.5" x14ac:dyDescent="0.25">
      <c r="B127" s="165"/>
      <c r="C127" s="106">
        <v>41280.224305555559</v>
      </c>
      <c r="D127" s="170"/>
      <c r="E127" s="170"/>
      <c r="F127" s="170"/>
      <c r="G127" s="170"/>
      <c r="H127" s="170"/>
      <c r="I127" s="170"/>
      <c r="J127" s="197" t="s">
        <v>435</v>
      </c>
      <c r="K127" s="197"/>
      <c r="L127" s="197"/>
      <c r="M127" s="197"/>
      <c r="N127" s="197"/>
      <c r="O127" s="197"/>
      <c r="P127" s="197"/>
      <c r="Q127" s="170"/>
      <c r="R127" s="224"/>
      <c r="S127" s="167">
        <v>0</v>
      </c>
      <c r="T127" s="167">
        <v>1</v>
      </c>
      <c r="U127" s="51" t="s">
        <v>788</v>
      </c>
      <c r="V127" s="178">
        <v>41754</v>
      </c>
    </row>
    <row r="128" spans="2:22" s="167" customFormat="1" ht="25" x14ac:dyDescent="0.25">
      <c r="B128" s="165"/>
      <c r="C128" s="106">
        <v>41280.256944444445</v>
      </c>
      <c r="D128" s="170"/>
      <c r="E128" s="170"/>
      <c r="F128" s="170"/>
      <c r="G128" s="170"/>
      <c r="H128" s="170"/>
      <c r="I128" s="170"/>
      <c r="J128" s="197" t="s">
        <v>435</v>
      </c>
      <c r="K128" s="197"/>
      <c r="L128" s="197"/>
      <c r="M128" s="197"/>
      <c r="N128" s="197"/>
      <c r="O128" s="197"/>
      <c r="P128" s="197"/>
      <c r="Q128" s="170"/>
      <c r="R128" s="224"/>
      <c r="S128" s="167">
        <v>0</v>
      </c>
      <c r="T128" s="167">
        <v>1</v>
      </c>
      <c r="U128" s="51" t="s">
        <v>783</v>
      </c>
      <c r="V128" s="178">
        <v>41754</v>
      </c>
    </row>
    <row r="129" spans="2:22" s="167" customFormat="1" ht="25" x14ac:dyDescent="0.25">
      <c r="B129" s="165"/>
      <c r="C129" s="106">
        <v>41280.265277777777</v>
      </c>
      <c r="D129" s="170"/>
      <c r="E129" s="170"/>
      <c r="F129" s="170"/>
      <c r="G129" s="170"/>
      <c r="H129" s="170"/>
      <c r="I129" s="170"/>
      <c r="J129" s="197" t="s">
        <v>435</v>
      </c>
      <c r="K129" s="197"/>
      <c r="L129" s="197"/>
      <c r="M129" s="197"/>
      <c r="N129" s="197"/>
      <c r="O129" s="197"/>
      <c r="P129" s="197"/>
      <c r="Q129" s="170"/>
      <c r="R129" s="224"/>
      <c r="S129" s="167">
        <v>0</v>
      </c>
      <c r="T129" s="167">
        <v>1</v>
      </c>
      <c r="U129" s="51" t="s">
        <v>785</v>
      </c>
      <c r="V129" s="178">
        <v>41754</v>
      </c>
    </row>
    <row r="130" spans="2:22" s="167" customFormat="1" ht="50" x14ac:dyDescent="0.25">
      <c r="B130" s="165"/>
      <c r="C130" s="106">
        <v>41280.27847222222</v>
      </c>
      <c r="D130" s="170"/>
      <c r="E130" s="170"/>
      <c r="F130" s="170"/>
      <c r="G130" s="170"/>
      <c r="H130" s="170"/>
      <c r="I130" s="170"/>
      <c r="J130" s="197" t="s">
        <v>435</v>
      </c>
      <c r="K130" s="197"/>
      <c r="L130" s="197"/>
      <c r="M130" s="197"/>
      <c r="N130" s="197"/>
      <c r="O130" s="197"/>
      <c r="P130" s="197"/>
      <c r="Q130" s="170"/>
      <c r="R130" s="224"/>
      <c r="S130" s="167">
        <v>0</v>
      </c>
      <c r="T130" s="167">
        <v>1</v>
      </c>
      <c r="U130" s="51" t="s">
        <v>784</v>
      </c>
      <c r="V130" s="178">
        <v>41754</v>
      </c>
    </row>
    <row r="131" spans="2:22" s="167" customFormat="1" ht="75" x14ac:dyDescent="0.25">
      <c r="B131" s="165"/>
      <c r="C131" s="106">
        <v>41283.161805555559</v>
      </c>
      <c r="D131" s="170"/>
      <c r="E131" s="170"/>
      <c r="F131" s="170"/>
      <c r="G131" s="170"/>
      <c r="H131" s="170"/>
      <c r="I131" s="170"/>
      <c r="J131" s="197" t="s">
        <v>435</v>
      </c>
      <c r="K131" s="197"/>
      <c r="L131" s="197"/>
      <c r="M131" s="197"/>
      <c r="N131" s="197"/>
      <c r="O131" s="197"/>
      <c r="P131" s="197"/>
      <c r="Q131" s="170"/>
      <c r="R131" s="224"/>
      <c r="S131" s="167">
        <v>0</v>
      </c>
      <c r="T131" s="167">
        <v>3</v>
      </c>
      <c r="U131" s="51" t="s">
        <v>791</v>
      </c>
      <c r="V131" s="178">
        <v>41760</v>
      </c>
    </row>
    <row r="132" spans="2:22" s="167" customFormat="1" ht="87.5" x14ac:dyDescent="0.25">
      <c r="B132" s="165"/>
      <c r="C132" s="106">
        <v>41291.172222222223</v>
      </c>
      <c r="D132" s="170">
        <v>44.7</v>
      </c>
      <c r="E132" s="170">
        <v>-2.6</v>
      </c>
      <c r="F132" s="46">
        <f>-LOG((1/(D132^2))*(2.511^(-E132)))/LOG(2.511)</f>
        <v>5.6547009674520252</v>
      </c>
      <c r="G132" s="170">
        <v>217.9</v>
      </c>
      <c r="H132" s="170">
        <v>199.8</v>
      </c>
      <c r="I132" s="170">
        <v>268.89999999999998</v>
      </c>
      <c r="J132" s="197" t="s">
        <v>435</v>
      </c>
      <c r="K132" s="197"/>
      <c r="L132" s="197"/>
      <c r="M132" s="197"/>
      <c r="N132" s="197"/>
      <c r="O132" s="197"/>
      <c r="P132" s="197"/>
      <c r="Q132" s="170"/>
      <c r="R132" s="224"/>
      <c r="S132" s="167">
        <v>0</v>
      </c>
      <c r="T132" s="167">
        <v>11</v>
      </c>
      <c r="U132" s="51" t="s">
        <v>831</v>
      </c>
      <c r="V132" s="178">
        <v>41760</v>
      </c>
    </row>
    <row r="133" spans="2:22" s="167" customFormat="1" ht="37.5" x14ac:dyDescent="0.25">
      <c r="B133" s="165"/>
      <c r="C133" s="106">
        <v>41292.190972222219</v>
      </c>
      <c r="D133" s="170">
        <v>44.5</v>
      </c>
      <c r="E133" s="170">
        <v>-2.6</v>
      </c>
      <c r="F133" s="170"/>
      <c r="G133" s="170">
        <v>37.1</v>
      </c>
      <c r="H133" s="170">
        <v>11.2</v>
      </c>
      <c r="I133" s="170">
        <v>83.6</v>
      </c>
      <c r="J133" s="164" t="s">
        <v>435</v>
      </c>
      <c r="K133" s="164"/>
      <c r="L133" s="197"/>
      <c r="M133" s="197"/>
      <c r="N133" s="164" t="s">
        <v>435</v>
      </c>
      <c r="O133" s="197"/>
      <c r="P133" s="197"/>
      <c r="Q133" s="170">
        <v>66</v>
      </c>
      <c r="R133" s="224"/>
      <c r="S133" s="167">
        <v>0</v>
      </c>
      <c r="T133" s="167">
        <v>1</v>
      </c>
      <c r="U133" s="51" t="s">
        <v>792</v>
      </c>
      <c r="V133" s="178">
        <v>41760</v>
      </c>
    </row>
    <row r="134" spans="2:22" s="167" customFormat="1" ht="25" x14ac:dyDescent="0.25">
      <c r="B134" s="165"/>
      <c r="C134" s="106">
        <v>41621.201388888891</v>
      </c>
      <c r="D134" s="170"/>
      <c r="E134" s="170"/>
      <c r="F134" s="170"/>
      <c r="G134" s="170"/>
      <c r="H134" s="170"/>
      <c r="I134" s="170"/>
      <c r="J134" s="164" t="s">
        <v>435</v>
      </c>
      <c r="K134" s="164"/>
      <c r="L134" s="197"/>
      <c r="M134" s="197"/>
      <c r="N134" s="164"/>
      <c r="O134" s="197"/>
      <c r="P134" s="197"/>
      <c r="Q134" s="170"/>
      <c r="R134" s="224"/>
      <c r="S134" s="167">
        <v>0</v>
      </c>
      <c r="T134" s="167">
        <v>1</v>
      </c>
      <c r="U134" s="51" t="s">
        <v>794</v>
      </c>
      <c r="V134" s="178">
        <v>41760</v>
      </c>
    </row>
    <row r="135" spans="2:22" s="167" customFormat="1" ht="25" x14ac:dyDescent="0.25">
      <c r="B135" s="165"/>
      <c r="C135" s="106">
        <v>41621.208333333336</v>
      </c>
      <c r="D135" s="170"/>
      <c r="E135" s="170"/>
      <c r="F135" s="170"/>
      <c r="G135" s="170"/>
      <c r="H135" s="170"/>
      <c r="I135" s="170"/>
      <c r="J135" s="164"/>
      <c r="K135" s="164"/>
      <c r="L135" s="197"/>
      <c r="M135" s="197"/>
      <c r="N135" s="164" t="s">
        <v>435</v>
      </c>
      <c r="O135" s="197"/>
      <c r="P135" s="197"/>
      <c r="Q135" s="170"/>
      <c r="R135" s="224"/>
      <c r="S135" s="167">
        <v>0</v>
      </c>
      <c r="T135" s="167">
        <v>1</v>
      </c>
      <c r="U135" s="51" t="s">
        <v>793</v>
      </c>
      <c r="V135" s="178">
        <v>41760</v>
      </c>
    </row>
    <row r="136" spans="2:22" s="167" customFormat="1" ht="25" x14ac:dyDescent="0.25">
      <c r="B136" s="165"/>
      <c r="C136" s="106">
        <v>41621.28125</v>
      </c>
      <c r="D136" s="170"/>
      <c r="E136" s="170"/>
      <c r="F136" s="170"/>
      <c r="G136" s="170"/>
      <c r="H136" s="170"/>
      <c r="I136" s="170"/>
      <c r="J136" s="164" t="s">
        <v>435</v>
      </c>
      <c r="K136" s="164"/>
      <c r="L136" s="197"/>
      <c r="M136" s="197"/>
      <c r="N136" s="164"/>
      <c r="O136" s="197"/>
      <c r="P136" s="197"/>
      <c r="Q136" s="170"/>
      <c r="R136" s="224"/>
      <c r="S136" s="167">
        <v>0</v>
      </c>
      <c r="T136" s="167">
        <v>1</v>
      </c>
      <c r="U136" s="51" t="s">
        <v>795</v>
      </c>
      <c r="V136" s="178">
        <v>41760</v>
      </c>
    </row>
    <row r="137" spans="2:22" s="167" customFormat="1" ht="75" x14ac:dyDescent="0.25">
      <c r="B137" s="165"/>
      <c r="C137" s="106">
        <v>41625.256944444445</v>
      </c>
      <c r="D137" s="170"/>
      <c r="E137" s="170"/>
      <c r="F137" s="170"/>
      <c r="G137" s="170"/>
      <c r="H137" s="170"/>
      <c r="I137" s="170"/>
      <c r="J137" s="164" t="s">
        <v>435</v>
      </c>
      <c r="K137" s="164"/>
      <c r="L137" s="197"/>
      <c r="M137" s="197"/>
      <c r="N137" s="197"/>
      <c r="O137" s="197"/>
      <c r="P137" s="197"/>
      <c r="Q137" s="170"/>
      <c r="R137" s="224"/>
      <c r="S137" s="167">
        <v>0</v>
      </c>
      <c r="T137" s="167">
        <v>1</v>
      </c>
      <c r="U137" s="51" t="s">
        <v>796</v>
      </c>
      <c r="V137" s="178">
        <v>41760</v>
      </c>
    </row>
    <row r="138" spans="2:22" s="167" customFormat="1" ht="37.5" x14ac:dyDescent="0.25">
      <c r="B138" s="165"/>
      <c r="C138" s="106">
        <v>41707.113888888889</v>
      </c>
      <c r="D138" s="170"/>
      <c r="E138" s="170"/>
      <c r="F138" s="170"/>
      <c r="G138" s="170"/>
      <c r="H138" s="170"/>
      <c r="I138" s="170"/>
      <c r="J138" s="164" t="s">
        <v>435</v>
      </c>
      <c r="K138" s="164"/>
      <c r="L138" s="164" t="s">
        <v>435</v>
      </c>
      <c r="M138" s="164" t="s">
        <v>435</v>
      </c>
      <c r="N138" s="164" t="s">
        <v>435</v>
      </c>
      <c r="O138" s="164" t="s">
        <v>435</v>
      </c>
      <c r="P138" s="197"/>
      <c r="Q138" s="170"/>
      <c r="R138" s="224"/>
      <c r="S138" s="167">
        <v>0</v>
      </c>
      <c r="T138" s="167">
        <v>1</v>
      </c>
      <c r="U138" s="51" t="s">
        <v>797</v>
      </c>
      <c r="V138" s="178">
        <v>41760</v>
      </c>
    </row>
    <row r="139" spans="2:22" s="167" customFormat="1" ht="37.5" x14ac:dyDescent="0.25">
      <c r="B139" s="165"/>
      <c r="C139" s="259">
        <v>41711.092361111114</v>
      </c>
      <c r="D139" s="170"/>
      <c r="E139" s="170"/>
      <c r="F139" s="170"/>
      <c r="G139" s="170"/>
      <c r="H139" s="170"/>
      <c r="I139" s="170"/>
      <c r="J139" s="164" t="s">
        <v>435</v>
      </c>
      <c r="K139" s="164" t="s">
        <v>435</v>
      </c>
      <c r="L139" s="164" t="s">
        <v>435</v>
      </c>
      <c r="M139" s="164"/>
      <c r="N139" s="164"/>
      <c r="O139" s="164" t="s">
        <v>435</v>
      </c>
      <c r="P139" s="197"/>
      <c r="Q139" s="170"/>
      <c r="R139" s="224"/>
      <c r="S139" s="167">
        <v>0</v>
      </c>
      <c r="T139" s="167">
        <v>1</v>
      </c>
      <c r="U139" s="51" t="s">
        <v>800</v>
      </c>
      <c r="V139" s="178">
        <v>41771</v>
      </c>
    </row>
    <row r="140" spans="2:22" s="167" customFormat="1" ht="37.5" x14ac:dyDescent="0.25">
      <c r="B140" s="165"/>
      <c r="C140" s="257">
        <v>41711.100011574075</v>
      </c>
      <c r="D140" s="170"/>
      <c r="E140" s="170"/>
      <c r="F140" s="170"/>
      <c r="G140" s="170"/>
      <c r="H140" s="170"/>
      <c r="I140" s="170"/>
      <c r="J140" s="164" t="s">
        <v>435</v>
      </c>
      <c r="K140" s="164" t="s">
        <v>435</v>
      </c>
      <c r="L140" s="164" t="s">
        <v>435</v>
      </c>
      <c r="M140" s="164"/>
      <c r="N140" s="164"/>
      <c r="O140" s="164" t="s">
        <v>435</v>
      </c>
      <c r="P140" s="197"/>
      <c r="Q140" s="170"/>
      <c r="R140" s="224"/>
      <c r="S140" s="167">
        <v>0</v>
      </c>
      <c r="T140" s="167">
        <v>1</v>
      </c>
      <c r="U140" s="51" t="s">
        <v>802</v>
      </c>
      <c r="V140" s="178">
        <v>41771</v>
      </c>
    </row>
    <row r="141" spans="2:22" s="167" customFormat="1" ht="37.5" x14ac:dyDescent="0.25">
      <c r="B141" s="165"/>
      <c r="C141" s="259">
        <v>41711.111805555556</v>
      </c>
      <c r="D141" s="170"/>
      <c r="E141" s="170"/>
      <c r="F141" s="170"/>
      <c r="G141" s="170"/>
      <c r="H141" s="170"/>
      <c r="I141" s="170"/>
      <c r="J141" s="164" t="s">
        <v>435</v>
      </c>
      <c r="K141" s="164" t="s">
        <v>435</v>
      </c>
      <c r="L141" s="164" t="s">
        <v>435</v>
      </c>
      <c r="M141" s="164"/>
      <c r="N141" s="164"/>
      <c r="O141" s="164" t="s">
        <v>435</v>
      </c>
      <c r="P141" s="197"/>
      <c r="Q141" s="170"/>
      <c r="R141" s="224"/>
      <c r="S141" s="167">
        <v>0</v>
      </c>
      <c r="T141" s="167">
        <v>1</v>
      </c>
      <c r="U141" s="51" t="s">
        <v>799</v>
      </c>
      <c r="V141" s="178">
        <v>41771</v>
      </c>
    </row>
    <row r="142" spans="2:22" s="167" customFormat="1" ht="37.5" x14ac:dyDescent="0.25">
      <c r="B142" s="165"/>
      <c r="C142" s="257">
        <v>41711.124803240738</v>
      </c>
      <c r="D142" s="170"/>
      <c r="E142" s="170"/>
      <c r="F142" s="170"/>
      <c r="G142" s="170"/>
      <c r="H142" s="170"/>
      <c r="I142" s="170"/>
      <c r="J142" s="164" t="s">
        <v>435</v>
      </c>
      <c r="K142" s="164" t="s">
        <v>435</v>
      </c>
      <c r="L142" s="164" t="s">
        <v>435</v>
      </c>
      <c r="M142" s="164"/>
      <c r="N142" s="164"/>
      <c r="O142" s="164" t="s">
        <v>435</v>
      </c>
      <c r="P142" s="197"/>
      <c r="Q142" s="170"/>
      <c r="R142" s="224"/>
      <c r="S142" s="167">
        <v>0</v>
      </c>
      <c r="T142" s="167">
        <v>1</v>
      </c>
      <c r="U142" s="51" t="s">
        <v>801</v>
      </c>
      <c r="V142" s="178">
        <v>41771</v>
      </c>
    </row>
    <row r="143" spans="2:22" s="167" customFormat="1" ht="37.5" x14ac:dyDescent="0.25">
      <c r="B143" s="165"/>
      <c r="C143" s="259">
        <v>41711.133333333331</v>
      </c>
      <c r="D143" s="170"/>
      <c r="E143" s="170"/>
      <c r="F143" s="170"/>
      <c r="G143" s="170"/>
      <c r="H143" s="170"/>
      <c r="I143" s="170"/>
      <c r="J143" s="164" t="s">
        <v>435</v>
      </c>
      <c r="K143" s="164" t="s">
        <v>435</v>
      </c>
      <c r="L143" s="164" t="s">
        <v>435</v>
      </c>
      <c r="M143" s="164"/>
      <c r="N143" s="164"/>
      <c r="O143" s="164" t="s">
        <v>435</v>
      </c>
      <c r="P143" s="197"/>
      <c r="Q143" s="170"/>
      <c r="R143" s="224"/>
      <c r="S143" s="167">
        <v>0</v>
      </c>
      <c r="T143" s="167">
        <v>1</v>
      </c>
      <c r="U143" s="51" t="s">
        <v>798</v>
      </c>
      <c r="V143" s="178">
        <v>41771</v>
      </c>
    </row>
    <row r="144" spans="2:22" s="167" customFormat="1" ht="50" x14ac:dyDescent="0.25">
      <c r="B144" s="165"/>
      <c r="C144" s="258">
        <v>41711.186736111114</v>
      </c>
      <c r="D144" s="170"/>
      <c r="E144" s="170"/>
      <c r="F144" s="170"/>
      <c r="G144" s="170"/>
      <c r="H144" s="170"/>
      <c r="I144" s="170"/>
      <c r="J144" s="164" t="s">
        <v>435</v>
      </c>
      <c r="K144" s="164" t="s">
        <v>435</v>
      </c>
      <c r="L144" s="164"/>
      <c r="M144" s="164"/>
      <c r="N144" s="164"/>
      <c r="O144" s="164"/>
      <c r="P144" s="197"/>
      <c r="Q144" s="170"/>
      <c r="R144" s="224"/>
      <c r="S144" s="167">
        <v>0</v>
      </c>
      <c r="T144" s="167">
        <v>1</v>
      </c>
      <c r="U144" s="51" t="s">
        <v>803</v>
      </c>
      <c r="V144" s="178">
        <v>41771</v>
      </c>
    </row>
  </sheetData>
  <autoFilter ref="A1:X144" xr:uid="{00000000-0009-0000-0000-000006000000}"/>
  <sortState xmlns:xlrd2="http://schemas.microsoft.com/office/spreadsheetml/2017/richdata2" ref="A2:W130">
    <sortCondition ref="C2:C130"/>
  </sortState>
  <printOptions gridLines="1"/>
  <pageMargins left="0.75" right="0.75" top="1" bottom="1" header="0.5" footer="0.5"/>
  <pageSetup scale="70" orientation="landscape" r:id="rId1"/>
  <headerFooter alignWithMargins="0">
    <oddHeader>&amp;L&amp;D&amp;C&amp;F - &amp;A&amp;R&amp;T</oddHeader>
    <oddFooter>Page &amp;P of &amp;N</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T75"/>
  <sheetViews>
    <sheetView zoomScale="85" zoomScaleNormal="85" workbookViewId="0">
      <pane xSplit="2" ySplit="1" topLeftCell="D9" activePane="bottomRight" state="frozenSplit"/>
      <selection pane="topRight" activeCell="D1" sqref="D1"/>
      <selection pane="bottomLeft" activeCell="A105" sqref="A105"/>
      <selection pane="bottomRight" activeCell="Q11" sqref="Q11"/>
    </sheetView>
  </sheetViews>
  <sheetFormatPr defaultColWidth="9.1796875" defaultRowHeight="12.5" x14ac:dyDescent="0.25"/>
  <cols>
    <col min="1" max="1" width="8.54296875" style="105" customWidth="1"/>
    <col min="2" max="2" width="17.7265625" style="106" customWidth="1"/>
    <col min="3" max="4" width="6.54296875" style="107" customWidth="1"/>
    <col min="5" max="5" width="5" style="107" customWidth="1"/>
    <col min="6" max="12" width="3.7265625" style="107" customWidth="1"/>
    <col min="13" max="13" width="5.453125" style="107" customWidth="1"/>
    <col min="14" max="14" width="4.81640625" style="108" customWidth="1"/>
    <col min="15" max="15" width="2.7265625" style="109" customWidth="1"/>
    <col min="16" max="16" width="2.81640625" style="109" customWidth="1"/>
    <col min="17" max="17" width="40.7265625" style="105" customWidth="1"/>
    <col min="18" max="18" width="12.453125" style="110" bestFit="1" customWidth="1"/>
    <col min="19" max="16384" width="9.1796875" style="109"/>
  </cols>
  <sheetData>
    <row r="1" spans="1:20" s="156" customFormat="1" ht="54.75" customHeight="1" x14ac:dyDescent="0.3">
      <c r="A1" s="148" t="s">
        <v>233</v>
      </c>
      <c r="B1" s="149" t="s">
        <v>242</v>
      </c>
      <c r="C1" s="150" t="s">
        <v>447</v>
      </c>
      <c r="D1" s="150" t="s">
        <v>448</v>
      </c>
      <c r="E1" s="150" t="s">
        <v>135</v>
      </c>
      <c r="F1" s="150" t="s">
        <v>449</v>
      </c>
      <c r="G1" s="150" t="s">
        <v>142</v>
      </c>
      <c r="H1" s="150" t="s">
        <v>143</v>
      </c>
      <c r="I1" s="150" t="s">
        <v>141</v>
      </c>
      <c r="J1" s="150" t="s">
        <v>144</v>
      </c>
      <c r="K1" s="150" t="s">
        <v>145</v>
      </c>
      <c r="L1" s="150" t="s">
        <v>450</v>
      </c>
      <c r="M1" s="150" t="s">
        <v>131</v>
      </c>
      <c r="N1" s="151" t="s">
        <v>132</v>
      </c>
      <c r="O1" s="152" t="s">
        <v>12</v>
      </c>
      <c r="P1" s="152" t="s">
        <v>156</v>
      </c>
      <c r="Q1" s="153" t="s">
        <v>155</v>
      </c>
      <c r="R1" s="154" t="s">
        <v>157</v>
      </c>
      <c r="S1" s="155">
        <f>SUM(O2:O23)</f>
        <v>0</v>
      </c>
      <c r="T1" s="155">
        <f>SUM(P2:P23)</f>
        <v>32</v>
      </c>
    </row>
    <row r="2" spans="1:20" s="42" customFormat="1" ht="75" x14ac:dyDescent="0.3">
      <c r="A2" s="157"/>
      <c r="B2" s="106">
        <v>34921.390972222223</v>
      </c>
      <c r="C2" s="46">
        <v>18.899999999999999</v>
      </c>
      <c r="D2" s="46">
        <v>0.9</v>
      </c>
      <c r="E2" s="46">
        <f t="shared" ref="E2:E25" si="0">-LOG((1/(C2^2))*(2.511^(-D2)))/LOG(2.511)</f>
        <v>7.284755775594955</v>
      </c>
      <c r="F2" s="46"/>
      <c r="G2" s="46"/>
      <c r="H2" s="46"/>
      <c r="I2" s="46"/>
      <c r="J2" s="46"/>
      <c r="K2" s="46"/>
      <c r="L2" s="46"/>
      <c r="M2" s="46">
        <v>45</v>
      </c>
      <c r="O2" s="42">
        <v>0</v>
      </c>
      <c r="P2" s="42">
        <v>8</v>
      </c>
      <c r="Q2" s="158" t="s">
        <v>477</v>
      </c>
      <c r="R2" s="159">
        <v>40172</v>
      </c>
      <c r="S2" s="156"/>
      <c r="T2" s="156"/>
    </row>
    <row r="3" spans="1:20" s="42" customFormat="1" ht="75" x14ac:dyDescent="0.3">
      <c r="A3" s="157"/>
      <c r="B3" s="106">
        <v>34921.390972222223</v>
      </c>
      <c r="C3" s="46">
        <v>18.899999999999999</v>
      </c>
      <c r="D3" s="46">
        <v>0.9</v>
      </c>
      <c r="E3" s="46">
        <f>-LOG((1/(C3^2))*(2.511^(-D3)))/LOG(2.511)</f>
        <v>7.284755775594955</v>
      </c>
      <c r="F3" s="46"/>
      <c r="G3" s="46"/>
      <c r="H3" s="46"/>
      <c r="I3" s="46"/>
      <c r="J3" s="46"/>
      <c r="K3" s="46"/>
      <c r="L3" s="46"/>
      <c r="M3" s="46">
        <v>45</v>
      </c>
      <c r="O3" s="42">
        <v>0</v>
      </c>
      <c r="P3" s="42">
        <v>3</v>
      </c>
      <c r="Q3" s="158" t="s">
        <v>478</v>
      </c>
      <c r="R3" s="159">
        <v>40172</v>
      </c>
      <c r="S3" s="156"/>
      <c r="T3" s="156"/>
    </row>
    <row r="4" spans="1:20" s="42" customFormat="1" ht="125" x14ac:dyDescent="0.3">
      <c r="A4" s="157"/>
      <c r="B4" s="106">
        <v>38340.25</v>
      </c>
      <c r="C4" s="46">
        <v>20.3</v>
      </c>
      <c r="D4" s="46">
        <v>-0.2</v>
      </c>
      <c r="E4" s="46">
        <f>-LOG((1/(C4^2))*(2.511^(-D4)))/LOG(2.511)</f>
        <v>6.3399864315100904</v>
      </c>
      <c r="F4" s="46"/>
      <c r="G4" s="46"/>
      <c r="H4" s="46"/>
      <c r="I4" s="46"/>
      <c r="J4" s="46"/>
      <c r="K4" s="46"/>
      <c r="L4" s="46"/>
      <c r="M4" s="46">
        <v>47</v>
      </c>
      <c r="O4" s="42">
        <v>0</v>
      </c>
      <c r="P4" s="42">
        <v>1</v>
      </c>
      <c r="Q4" s="158" t="s">
        <v>139</v>
      </c>
      <c r="R4" s="159">
        <v>38644</v>
      </c>
      <c r="S4" s="156"/>
      <c r="T4" s="156"/>
    </row>
    <row r="5" spans="1:20" s="163" customFormat="1" ht="125" x14ac:dyDescent="0.3">
      <c r="A5" s="157"/>
      <c r="B5" s="106">
        <v>38354.292361111111</v>
      </c>
      <c r="C5" s="46">
        <v>20.5</v>
      </c>
      <c r="D5" s="46">
        <v>-0.3</v>
      </c>
      <c r="E5" s="46">
        <f t="shared" si="0"/>
        <v>6.2612837087274142</v>
      </c>
      <c r="F5" s="46"/>
      <c r="G5" s="46"/>
      <c r="H5" s="46"/>
      <c r="I5" s="46"/>
      <c r="J5" s="46"/>
      <c r="K5" s="46"/>
      <c r="L5" s="46"/>
      <c r="M5" s="46">
        <v>67</v>
      </c>
      <c r="N5" s="160"/>
      <c r="O5" s="42">
        <v>0</v>
      </c>
      <c r="P5" s="42">
        <v>1</v>
      </c>
      <c r="Q5" s="158" t="s">
        <v>158</v>
      </c>
      <c r="R5" s="159">
        <v>39953</v>
      </c>
      <c r="S5" s="161"/>
      <c r="T5" s="162"/>
    </row>
    <row r="6" spans="1:20" s="42" customFormat="1" ht="62.5" x14ac:dyDescent="0.3">
      <c r="A6" s="157"/>
      <c r="B6" s="106">
        <v>38354.300694444442</v>
      </c>
      <c r="C6" s="46">
        <v>20.5</v>
      </c>
      <c r="D6" s="46">
        <v>-0.3</v>
      </c>
      <c r="E6" s="46">
        <f t="shared" si="0"/>
        <v>6.2612837087274142</v>
      </c>
      <c r="F6" s="46"/>
      <c r="G6" s="164" t="s">
        <v>435</v>
      </c>
      <c r="H6" s="164" t="s">
        <v>435</v>
      </c>
      <c r="I6" s="164" t="s">
        <v>435</v>
      </c>
      <c r="J6" s="164" t="s">
        <v>435</v>
      </c>
      <c r="K6" s="164" t="s">
        <v>435</v>
      </c>
      <c r="L6" s="46"/>
      <c r="M6" s="46">
        <v>69</v>
      </c>
      <c r="N6" s="160"/>
      <c r="O6" s="42">
        <v>0</v>
      </c>
      <c r="P6" s="42">
        <v>1</v>
      </c>
      <c r="Q6" s="158" t="s">
        <v>159</v>
      </c>
      <c r="R6" s="159"/>
      <c r="S6" s="161"/>
      <c r="T6" s="162"/>
    </row>
    <row r="7" spans="1:20" s="42" customFormat="1" ht="125" x14ac:dyDescent="0.3">
      <c r="A7" s="157"/>
      <c r="B7" s="106">
        <v>38408.166666666664</v>
      </c>
      <c r="C7" s="46">
        <v>19.899999999999999</v>
      </c>
      <c r="D7" s="46">
        <v>-0.1</v>
      </c>
      <c r="E7" s="46">
        <f t="shared" si="0"/>
        <v>6.396755056942248</v>
      </c>
      <c r="F7" s="46"/>
      <c r="G7" s="46"/>
      <c r="H7" s="46"/>
      <c r="I7" s="46"/>
      <c r="J7" s="46"/>
      <c r="K7" s="46"/>
      <c r="L7" s="46"/>
      <c r="M7" s="46">
        <v>72</v>
      </c>
      <c r="N7" s="160"/>
      <c r="O7" s="42">
        <v>0</v>
      </c>
      <c r="P7" s="42">
        <v>1</v>
      </c>
      <c r="Q7" s="158" t="s">
        <v>147</v>
      </c>
      <c r="R7" s="159">
        <v>38644</v>
      </c>
      <c r="S7" s="161"/>
      <c r="T7" s="162"/>
    </row>
    <row r="8" spans="1:20" s="42" customFormat="1" ht="125" x14ac:dyDescent="0.3">
      <c r="A8" s="157"/>
      <c r="B8" s="106">
        <v>38412.166666666664</v>
      </c>
      <c r="C8" s="46">
        <v>19.8</v>
      </c>
      <c r="D8" s="46">
        <v>-0.1</v>
      </c>
      <c r="E8" s="46">
        <f t="shared" si="0"/>
        <v>6.385811432405081</v>
      </c>
      <c r="F8" s="46"/>
      <c r="G8" s="46"/>
      <c r="H8" s="46"/>
      <c r="I8" s="46"/>
      <c r="J8" s="46"/>
      <c r="K8" s="46"/>
      <c r="L8" s="46"/>
      <c r="M8" s="46">
        <v>72</v>
      </c>
      <c r="N8" s="160"/>
      <c r="O8" s="42">
        <v>0</v>
      </c>
      <c r="P8" s="42">
        <v>1</v>
      </c>
      <c r="Q8" s="158" t="s">
        <v>149</v>
      </c>
      <c r="R8" s="159">
        <v>39953</v>
      </c>
      <c r="S8" s="161"/>
      <c r="T8" s="162"/>
    </row>
    <row r="9" spans="1:20" s="42" customFormat="1" ht="75" x14ac:dyDescent="0.3">
      <c r="A9" s="157"/>
      <c r="B9" s="106">
        <v>38412.166666666664</v>
      </c>
      <c r="C9" s="46">
        <v>19.8</v>
      </c>
      <c r="D9" s="46">
        <v>-0.1</v>
      </c>
      <c r="E9" s="46">
        <f t="shared" si="0"/>
        <v>6.385811432405081</v>
      </c>
      <c r="F9" s="46"/>
      <c r="G9" s="46"/>
      <c r="H9" s="46"/>
      <c r="I9" s="46"/>
      <c r="J9" s="46"/>
      <c r="K9" s="46"/>
      <c r="L9" s="46"/>
      <c r="M9" s="46">
        <v>72</v>
      </c>
      <c r="N9" s="160"/>
      <c r="O9" s="42">
        <v>0</v>
      </c>
      <c r="P9" s="42">
        <v>1</v>
      </c>
      <c r="Q9" s="158" t="s">
        <v>454</v>
      </c>
      <c r="R9" s="159">
        <v>39953</v>
      </c>
      <c r="S9" s="161"/>
      <c r="T9" s="162"/>
    </row>
    <row r="10" spans="1:20" s="42" customFormat="1" ht="150" x14ac:dyDescent="0.3">
      <c r="A10" s="157"/>
      <c r="B10" s="106">
        <v>38414.166666666664</v>
      </c>
      <c r="C10" s="46">
        <v>19.7</v>
      </c>
      <c r="D10" s="46">
        <v>-0.1</v>
      </c>
      <c r="E10" s="46">
        <f t="shared" si="0"/>
        <v>6.3748123968745967</v>
      </c>
      <c r="F10" s="46"/>
      <c r="G10" s="46"/>
      <c r="H10" s="46"/>
      <c r="I10" s="46"/>
      <c r="J10" s="46"/>
      <c r="K10" s="46"/>
      <c r="L10" s="46"/>
      <c r="M10" s="46">
        <v>72</v>
      </c>
      <c r="N10" s="160"/>
      <c r="O10" s="42">
        <v>0</v>
      </c>
      <c r="P10" s="42">
        <v>1</v>
      </c>
      <c r="Q10" s="158" t="s">
        <v>405</v>
      </c>
      <c r="R10" s="159">
        <v>38644</v>
      </c>
      <c r="S10" s="161"/>
      <c r="T10" s="162"/>
    </row>
    <row r="11" spans="1:20" s="42" customFormat="1" ht="125" x14ac:dyDescent="0.25">
      <c r="A11" s="165"/>
      <c r="B11" s="106">
        <v>38729.21597222222</v>
      </c>
      <c r="C11" s="46">
        <v>20.3</v>
      </c>
      <c r="D11" s="46">
        <v>-0.1</v>
      </c>
      <c r="E11" s="46">
        <f t="shared" si="0"/>
        <v>6.4399864315100901</v>
      </c>
      <c r="F11" s="46"/>
      <c r="G11" s="46"/>
      <c r="H11" s="46"/>
      <c r="I11" s="46"/>
      <c r="J11" s="46"/>
      <c r="K11" s="46"/>
      <c r="L11" s="46"/>
      <c r="M11" s="46"/>
      <c r="N11" s="166" t="s">
        <v>197</v>
      </c>
      <c r="O11" s="167">
        <v>0</v>
      </c>
      <c r="P11" s="167">
        <v>1</v>
      </c>
      <c r="Q11" s="158" t="s">
        <v>212</v>
      </c>
      <c r="R11" s="49">
        <v>38730</v>
      </c>
    </row>
    <row r="12" spans="1:20" s="42" customFormat="1" x14ac:dyDescent="0.25">
      <c r="A12" s="51"/>
      <c r="B12" s="106">
        <v>38729.246527777781</v>
      </c>
      <c r="C12" s="46">
        <v>20.3</v>
      </c>
      <c r="D12" s="46">
        <v>-0.1</v>
      </c>
      <c r="E12" s="46">
        <f t="shared" si="0"/>
        <v>6.4399864315100901</v>
      </c>
      <c r="F12" s="46"/>
      <c r="G12" s="46"/>
      <c r="H12" s="46"/>
      <c r="I12" s="46"/>
      <c r="J12" s="46"/>
      <c r="K12" s="46"/>
      <c r="L12" s="46"/>
      <c r="M12" s="46"/>
      <c r="N12" s="166" t="s">
        <v>197</v>
      </c>
      <c r="O12" s="42">
        <v>0</v>
      </c>
      <c r="P12" s="42">
        <v>1</v>
      </c>
      <c r="Q12" s="158" t="s">
        <v>475</v>
      </c>
      <c r="R12" s="49">
        <v>40166</v>
      </c>
    </row>
    <row r="13" spans="1:20" s="42" customFormat="1" x14ac:dyDescent="0.25">
      <c r="A13" s="51"/>
      <c r="B13" s="106">
        <v>38731.247916666667</v>
      </c>
      <c r="C13" s="46">
        <v>20.3</v>
      </c>
      <c r="D13" s="46">
        <v>-0.1</v>
      </c>
      <c r="E13" s="46">
        <f t="shared" si="0"/>
        <v>6.4399864315100901</v>
      </c>
      <c r="F13" s="46"/>
      <c r="G13" s="46"/>
      <c r="H13" s="46"/>
      <c r="I13" s="46"/>
      <c r="J13" s="46"/>
      <c r="K13" s="46"/>
      <c r="L13" s="46"/>
      <c r="M13" s="46"/>
      <c r="N13" s="166" t="s">
        <v>6</v>
      </c>
      <c r="O13" s="42">
        <v>0</v>
      </c>
      <c r="P13" s="42">
        <v>1</v>
      </c>
      <c r="Q13" s="158" t="s">
        <v>475</v>
      </c>
      <c r="R13" s="49">
        <v>40166</v>
      </c>
    </row>
    <row r="14" spans="1:20" s="42" customFormat="1" x14ac:dyDescent="0.25">
      <c r="A14" s="51"/>
      <c r="B14" s="106">
        <v>38801.192361111112</v>
      </c>
      <c r="C14" s="46">
        <v>19.3</v>
      </c>
      <c r="D14" s="46">
        <v>0.1</v>
      </c>
      <c r="E14" s="46">
        <f t="shared" si="0"/>
        <v>6.5302507342645786</v>
      </c>
      <c r="F14" s="46"/>
      <c r="G14" s="46"/>
      <c r="H14" s="46"/>
      <c r="I14" s="46"/>
      <c r="J14" s="46"/>
      <c r="K14" s="46"/>
      <c r="L14" s="46"/>
      <c r="M14" s="46"/>
      <c r="N14" s="47" t="s">
        <v>6</v>
      </c>
      <c r="O14" s="42">
        <v>0</v>
      </c>
      <c r="P14" s="42">
        <v>1</v>
      </c>
      <c r="Q14" s="168" t="s">
        <v>476</v>
      </c>
      <c r="R14" s="49">
        <v>40166</v>
      </c>
    </row>
    <row r="15" spans="1:20" s="42" customFormat="1" ht="62.5" x14ac:dyDescent="0.25">
      <c r="A15" s="165"/>
      <c r="B15" s="106">
        <v>39190.17291666667</v>
      </c>
      <c r="C15" s="46">
        <v>18.8</v>
      </c>
      <c r="D15" s="46">
        <v>0.3</v>
      </c>
      <c r="E15" s="46">
        <f t="shared" si="0"/>
        <v>6.6732315847672652</v>
      </c>
      <c r="F15" s="46"/>
      <c r="G15" s="164"/>
      <c r="H15" s="164" t="s">
        <v>435</v>
      </c>
      <c r="I15" s="164"/>
      <c r="J15" s="164"/>
      <c r="K15" s="164" t="s">
        <v>435</v>
      </c>
      <c r="L15" s="46"/>
      <c r="M15" s="169">
        <v>60</v>
      </c>
      <c r="N15" s="169"/>
      <c r="O15" s="167">
        <v>0</v>
      </c>
      <c r="P15" s="167">
        <v>1</v>
      </c>
      <c r="Q15" s="158" t="s">
        <v>240</v>
      </c>
      <c r="R15" s="49">
        <v>39952</v>
      </c>
    </row>
    <row r="16" spans="1:20" s="42" customFormat="1" ht="62.5" x14ac:dyDescent="0.25">
      <c r="A16" s="165"/>
      <c r="B16" s="106">
        <v>39190.197916666664</v>
      </c>
      <c r="C16" s="46">
        <v>18.8</v>
      </c>
      <c r="D16" s="46">
        <v>0.3</v>
      </c>
      <c r="E16" s="46">
        <f t="shared" si="0"/>
        <v>6.6732315847672652</v>
      </c>
      <c r="F16" s="46"/>
      <c r="G16" s="164"/>
      <c r="H16" s="164" t="s">
        <v>435</v>
      </c>
      <c r="I16" s="164"/>
      <c r="J16" s="164"/>
      <c r="K16" s="164" t="s">
        <v>435</v>
      </c>
      <c r="L16" s="46"/>
      <c r="M16" s="169">
        <v>54</v>
      </c>
      <c r="N16" s="169"/>
      <c r="O16" s="167">
        <v>0</v>
      </c>
      <c r="P16" s="167">
        <v>1</v>
      </c>
      <c r="Q16" s="158" t="s">
        <v>451</v>
      </c>
      <c r="R16" s="49">
        <v>39952</v>
      </c>
    </row>
    <row r="17" spans="1:20" s="42" customFormat="1" ht="25" x14ac:dyDescent="0.25">
      <c r="A17" s="165"/>
      <c r="B17" s="106">
        <v>39553.15625</v>
      </c>
      <c r="C17" s="46">
        <v>19.2</v>
      </c>
      <c r="D17" s="46">
        <v>0.5</v>
      </c>
      <c r="E17" s="46">
        <f t="shared" si="0"/>
        <v>6.9189660082308597</v>
      </c>
      <c r="F17" s="46"/>
      <c r="G17" s="164" t="s">
        <v>435</v>
      </c>
      <c r="H17" s="164" t="s">
        <v>435</v>
      </c>
      <c r="I17" s="164"/>
      <c r="J17" s="164" t="s">
        <v>435</v>
      </c>
      <c r="K17" s="164"/>
      <c r="L17" s="46"/>
      <c r="M17" s="170">
        <v>62</v>
      </c>
      <c r="N17" s="169"/>
      <c r="O17" s="167">
        <v>0</v>
      </c>
      <c r="P17" s="167">
        <v>1</v>
      </c>
      <c r="Q17" s="158" t="s">
        <v>453</v>
      </c>
      <c r="R17" s="49">
        <v>39952</v>
      </c>
    </row>
    <row r="18" spans="1:20" s="42" customFormat="1" ht="25" x14ac:dyDescent="0.25">
      <c r="A18" s="165"/>
      <c r="B18" s="106">
        <v>39567.207638888889</v>
      </c>
      <c r="C18" s="46">
        <v>18.7</v>
      </c>
      <c r="D18" s="46">
        <v>0.5</v>
      </c>
      <c r="E18" s="46">
        <f t="shared" si="0"/>
        <v>6.8616459312978861</v>
      </c>
      <c r="F18" s="46"/>
      <c r="G18" s="164"/>
      <c r="H18" s="164"/>
      <c r="I18" s="164"/>
      <c r="J18" s="164"/>
      <c r="K18" s="164"/>
      <c r="L18" s="46"/>
      <c r="M18" s="170">
        <v>50</v>
      </c>
      <c r="N18" s="169"/>
      <c r="O18" s="167">
        <v>0</v>
      </c>
      <c r="P18" s="167">
        <v>1</v>
      </c>
      <c r="Q18" s="158" t="s">
        <v>452</v>
      </c>
      <c r="R18" s="49">
        <v>39952</v>
      </c>
    </row>
    <row r="19" spans="1:20" s="42" customFormat="1" ht="62.5" x14ac:dyDescent="0.25">
      <c r="A19" s="51" t="s">
        <v>446</v>
      </c>
      <c r="B19" s="106">
        <v>39886.023611111108</v>
      </c>
      <c r="C19" s="46">
        <v>19.8</v>
      </c>
      <c r="D19" s="46">
        <v>0.5</v>
      </c>
      <c r="E19" s="46">
        <f t="shared" si="0"/>
        <v>6.9858114324050806</v>
      </c>
      <c r="F19" s="46"/>
      <c r="G19" s="46"/>
      <c r="H19" s="46" t="s">
        <v>435</v>
      </c>
      <c r="I19" s="46" t="s">
        <v>435</v>
      </c>
      <c r="J19" s="46"/>
      <c r="K19" s="46"/>
      <c r="L19" s="46"/>
      <c r="M19" s="46">
        <v>57</v>
      </c>
      <c r="N19" s="171"/>
      <c r="O19" s="42">
        <v>0</v>
      </c>
      <c r="P19" s="42">
        <v>1</v>
      </c>
      <c r="Q19" s="44" t="s">
        <v>434</v>
      </c>
      <c r="R19" s="49">
        <v>39953</v>
      </c>
    </row>
    <row r="20" spans="1:20" s="42" customFormat="1" ht="62.5" x14ac:dyDescent="0.25">
      <c r="A20" s="105" t="s">
        <v>446</v>
      </c>
      <c r="B20" s="106">
        <v>39886.059027777781</v>
      </c>
      <c r="C20" s="107">
        <v>19.8</v>
      </c>
      <c r="D20" s="107">
        <v>0.5</v>
      </c>
      <c r="E20" s="46">
        <f t="shared" si="0"/>
        <v>6.9858114324050806</v>
      </c>
      <c r="F20" s="107"/>
      <c r="G20" s="107"/>
      <c r="H20" s="107" t="s">
        <v>435</v>
      </c>
      <c r="I20" s="107" t="s">
        <v>435</v>
      </c>
      <c r="J20" s="107"/>
      <c r="K20" s="107"/>
      <c r="L20" s="107"/>
      <c r="M20" s="107">
        <v>56</v>
      </c>
      <c r="N20" s="108"/>
      <c r="O20" s="109">
        <v>0</v>
      </c>
      <c r="P20" s="109">
        <v>1</v>
      </c>
      <c r="Q20" s="44" t="s">
        <v>434</v>
      </c>
      <c r="R20" s="110">
        <v>39953</v>
      </c>
      <c r="S20" s="109"/>
      <c r="T20" s="109"/>
    </row>
    <row r="21" spans="1:20" ht="112.5" x14ac:dyDescent="0.25">
      <c r="A21" s="105" t="s">
        <v>446</v>
      </c>
      <c r="B21" s="106">
        <v>39933.146527777775</v>
      </c>
      <c r="C21" s="107">
        <v>18.899999999999999</v>
      </c>
      <c r="D21" s="107">
        <v>0.7</v>
      </c>
      <c r="E21" s="46">
        <f t="shared" si="0"/>
        <v>7.084755775594954</v>
      </c>
      <c r="I21" s="107" t="s">
        <v>435</v>
      </c>
      <c r="J21" s="107" t="s">
        <v>435</v>
      </c>
      <c r="K21" s="107" t="s">
        <v>435</v>
      </c>
      <c r="M21" s="107">
        <v>58</v>
      </c>
      <c r="O21" s="109">
        <v>0</v>
      </c>
      <c r="P21" s="109">
        <v>2</v>
      </c>
      <c r="Q21" s="44" t="s">
        <v>468</v>
      </c>
      <c r="R21" s="110">
        <v>40042</v>
      </c>
    </row>
    <row r="22" spans="1:20" ht="62.5" x14ac:dyDescent="0.25">
      <c r="A22" s="105" t="s">
        <v>446</v>
      </c>
      <c r="B22" s="106">
        <v>39948.002083333333</v>
      </c>
      <c r="C22" s="107">
        <v>18.399999999999999</v>
      </c>
      <c r="D22" s="107">
        <v>0.8</v>
      </c>
      <c r="E22" s="46">
        <f t="shared" si="0"/>
        <v>7.126513550294642</v>
      </c>
      <c r="K22" s="172" t="s">
        <v>435</v>
      </c>
      <c r="M22" s="107">
        <v>34</v>
      </c>
      <c r="O22" s="109">
        <v>0</v>
      </c>
      <c r="P22" s="109">
        <v>1</v>
      </c>
      <c r="Q22" s="44" t="s">
        <v>469</v>
      </c>
      <c r="R22" s="110">
        <v>40042</v>
      </c>
    </row>
    <row r="23" spans="1:20" ht="62.5" x14ac:dyDescent="0.25">
      <c r="A23" s="105" t="s">
        <v>446</v>
      </c>
      <c r="B23" s="106">
        <v>39948.027083333334</v>
      </c>
      <c r="C23" s="107">
        <v>18.399999999999999</v>
      </c>
      <c r="D23" s="107">
        <v>0.8</v>
      </c>
      <c r="E23" s="46">
        <f t="shared" si="0"/>
        <v>7.126513550294642</v>
      </c>
      <c r="K23" s="107" t="s">
        <v>435</v>
      </c>
      <c r="M23" s="107">
        <v>27</v>
      </c>
      <c r="O23" s="109">
        <v>0</v>
      </c>
      <c r="P23" s="109">
        <v>1</v>
      </c>
      <c r="Q23" s="44" t="s">
        <v>445</v>
      </c>
      <c r="R23" s="110">
        <v>39951</v>
      </c>
    </row>
    <row r="24" spans="1:20" ht="50" x14ac:dyDescent="0.25">
      <c r="A24" s="44" t="s">
        <v>488</v>
      </c>
      <c r="B24" s="106">
        <v>40293.245833333334</v>
      </c>
      <c r="C24" s="107">
        <v>19.100000000000001</v>
      </c>
      <c r="D24" s="107">
        <v>0.8</v>
      </c>
      <c r="E24" s="46">
        <f t="shared" si="0"/>
        <v>7.2076223538567383</v>
      </c>
      <c r="M24" s="107">
        <v>50</v>
      </c>
      <c r="O24" s="109">
        <v>0</v>
      </c>
      <c r="P24" s="109">
        <v>1</v>
      </c>
      <c r="Q24" s="158" t="s">
        <v>566</v>
      </c>
      <c r="R24" s="110">
        <v>40325</v>
      </c>
    </row>
    <row r="25" spans="1:20" ht="75" x14ac:dyDescent="0.25">
      <c r="A25" s="105" t="s">
        <v>595</v>
      </c>
      <c r="B25" s="106">
        <v>40376.125</v>
      </c>
      <c r="C25" s="107">
        <v>16.7</v>
      </c>
      <c r="D25" s="107">
        <v>1.1000000000000001</v>
      </c>
      <c r="E25" s="46">
        <f t="shared" si="0"/>
        <v>7.2159260900336868</v>
      </c>
      <c r="M25" s="107">
        <v>28</v>
      </c>
      <c r="N25" s="179" t="s">
        <v>592</v>
      </c>
      <c r="O25" s="109">
        <v>1</v>
      </c>
      <c r="P25" s="109">
        <v>0</v>
      </c>
      <c r="Q25" s="14" t="s">
        <v>594</v>
      </c>
      <c r="R25" s="110">
        <v>40415</v>
      </c>
    </row>
    <row r="26" spans="1:20" s="42" customFormat="1" ht="25" x14ac:dyDescent="0.25">
      <c r="A26" s="51"/>
      <c r="B26" s="106">
        <v>40702.165277777778</v>
      </c>
      <c r="C26" s="46"/>
      <c r="D26" s="46"/>
      <c r="E26" s="46"/>
      <c r="F26" s="46"/>
      <c r="G26" s="46"/>
      <c r="H26" s="46"/>
      <c r="I26" s="46"/>
      <c r="J26" s="46"/>
      <c r="K26" s="46"/>
      <c r="L26" s="46"/>
      <c r="M26" s="46"/>
      <c r="N26" s="171"/>
      <c r="O26" s="42">
        <v>0</v>
      </c>
      <c r="P26" s="42">
        <v>1</v>
      </c>
      <c r="Q26" s="158" t="s">
        <v>741</v>
      </c>
      <c r="R26" s="49">
        <v>40729</v>
      </c>
    </row>
    <row r="27" spans="1:20" s="167" customFormat="1" ht="62.5" x14ac:dyDescent="0.25">
      <c r="A27" s="165"/>
      <c r="B27" s="106">
        <v>40702.183333333334</v>
      </c>
      <c r="C27" s="170"/>
      <c r="D27" s="170"/>
      <c r="E27" s="170"/>
      <c r="F27" s="170"/>
      <c r="G27" s="170"/>
      <c r="H27" s="170"/>
      <c r="I27" s="170"/>
      <c r="J27" s="170"/>
      <c r="K27" s="170"/>
      <c r="L27" s="170"/>
      <c r="M27" s="170"/>
      <c r="N27" s="169"/>
      <c r="O27" s="167">
        <v>0</v>
      </c>
      <c r="P27" s="167">
        <v>1</v>
      </c>
      <c r="Q27" s="158" t="s">
        <v>724</v>
      </c>
      <c r="R27" s="49">
        <v>40711</v>
      </c>
    </row>
    <row r="28" spans="1:20" s="167" customFormat="1" ht="38" x14ac:dyDescent="0.25">
      <c r="A28" s="165"/>
      <c r="B28" s="106">
        <v>40702.195833333331</v>
      </c>
      <c r="C28" s="170"/>
      <c r="D28" s="170"/>
      <c r="E28" s="170"/>
      <c r="F28" s="170"/>
      <c r="G28" s="170"/>
      <c r="H28" s="170"/>
      <c r="I28" s="170"/>
      <c r="J28" s="170"/>
      <c r="K28" s="170"/>
      <c r="L28" s="170"/>
      <c r="M28" s="170"/>
      <c r="N28" s="169"/>
      <c r="O28" s="167">
        <v>0</v>
      </c>
      <c r="P28" s="167">
        <v>1</v>
      </c>
      <c r="Q28" s="158" t="s">
        <v>725</v>
      </c>
      <c r="R28" s="49">
        <v>40714</v>
      </c>
    </row>
    <row r="29" spans="1:20" s="167" customFormat="1" ht="37.5" x14ac:dyDescent="0.25">
      <c r="A29" s="51"/>
      <c r="B29" s="106">
        <v>40705</v>
      </c>
      <c r="C29" s="46"/>
      <c r="D29" s="46"/>
      <c r="E29" s="46"/>
      <c r="F29" s="46"/>
      <c r="G29" s="46"/>
      <c r="H29" s="46"/>
      <c r="I29" s="46"/>
      <c r="J29" s="46"/>
      <c r="K29" s="46"/>
      <c r="L29" s="46"/>
      <c r="M29" s="46"/>
      <c r="N29" s="171"/>
      <c r="O29" s="42">
        <v>1</v>
      </c>
      <c r="P29" s="42">
        <v>0</v>
      </c>
      <c r="Q29" s="158" t="s">
        <v>723</v>
      </c>
      <c r="R29" s="49">
        <v>40711</v>
      </c>
      <c r="S29" s="42"/>
    </row>
    <row r="30" spans="1:20" s="167" customFormat="1" x14ac:dyDescent="0.25">
      <c r="A30" s="51"/>
      <c r="B30" s="106">
        <v>41039</v>
      </c>
      <c r="C30" s="46"/>
      <c r="D30" s="46"/>
      <c r="E30" s="46"/>
      <c r="F30" s="46"/>
      <c r="G30" s="46"/>
      <c r="H30" s="46"/>
      <c r="I30" s="46"/>
      <c r="J30" s="46"/>
      <c r="K30" s="46"/>
      <c r="L30" s="46"/>
      <c r="M30" s="46"/>
      <c r="N30" s="171"/>
      <c r="O30" s="42">
        <v>0</v>
      </c>
      <c r="P30" s="42">
        <v>1</v>
      </c>
      <c r="Q30" s="158" t="s">
        <v>764</v>
      </c>
      <c r="R30" s="49">
        <v>41201</v>
      </c>
      <c r="S30" s="42"/>
    </row>
    <row r="31" spans="1:20" s="167" customFormat="1" x14ac:dyDescent="0.25">
      <c r="A31" s="51"/>
      <c r="B31" s="106"/>
      <c r="C31" s="46"/>
      <c r="D31" s="46"/>
      <c r="E31" s="46"/>
      <c r="F31" s="46"/>
      <c r="G31" s="46"/>
      <c r="H31" s="46"/>
      <c r="I31" s="46"/>
      <c r="J31" s="46"/>
      <c r="K31" s="46"/>
      <c r="L31" s="46"/>
      <c r="M31" s="46"/>
      <c r="N31" s="171"/>
      <c r="O31" s="42"/>
      <c r="P31" s="42"/>
      <c r="Q31" s="51"/>
      <c r="R31" s="49"/>
      <c r="S31" s="42"/>
    </row>
    <row r="32" spans="1:20" s="167" customFormat="1" x14ac:dyDescent="0.25">
      <c r="A32" s="51"/>
      <c r="B32" s="106"/>
      <c r="C32" s="46"/>
      <c r="D32" s="46"/>
      <c r="E32" s="46"/>
      <c r="F32" s="46"/>
      <c r="G32" s="46"/>
      <c r="H32" s="46"/>
      <c r="I32" s="46"/>
      <c r="J32" s="46"/>
      <c r="K32" s="46"/>
      <c r="L32" s="46"/>
      <c r="M32" s="46"/>
      <c r="N32" s="171"/>
      <c r="O32" s="42"/>
      <c r="P32" s="42"/>
      <c r="Q32" s="51"/>
      <c r="R32" s="49"/>
      <c r="S32" s="42"/>
    </row>
    <row r="33" spans="1:19" s="167" customFormat="1" x14ac:dyDescent="0.25">
      <c r="A33" s="51"/>
      <c r="B33" s="106"/>
      <c r="C33" s="46"/>
      <c r="D33" s="46"/>
      <c r="E33" s="46"/>
      <c r="F33" s="46"/>
      <c r="G33" s="46"/>
      <c r="H33" s="46"/>
      <c r="I33" s="46"/>
      <c r="J33" s="46"/>
      <c r="K33" s="46"/>
      <c r="L33" s="46"/>
      <c r="M33" s="46"/>
      <c r="N33" s="171"/>
      <c r="O33" s="42"/>
      <c r="P33" s="42"/>
      <c r="Q33" s="51"/>
      <c r="R33" s="49"/>
      <c r="S33" s="42"/>
    </row>
    <row r="34" spans="1:19" s="167" customFormat="1" x14ac:dyDescent="0.25">
      <c r="A34" s="51"/>
      <c r="B34" s="106"/>
      <c r="C34" s="46"/>
      <c r="D34" s="46"/>
      <c r="E34" s="46"/>
      <c r="F34" s="46"/>
      <c r="G34" s="46"/>
      <c r="H34" s="46"/>
      <c r="I34" s="46"/>
      <c r="J34" s="46"/>
      <c r="K34" s="46"/>
      <c r="L34" s="46"/>
      <c r="M34" s="46"/>
      <c r="N34" s="171"/>
      <c r="O34" s="42"/>
      <c r="P34" s="42"/>
      <c r="Q34" s="51"/>
      <c r="R34" s="49"/>
      <c r="S34" s="42"/>
    </row>
    <row r="35" spans="1:19" s="167" customFormat="1" x14ac:dyDescent="0.25">
      <c r="A35" s="51"/>
      <c r="B35" s="106"/>
      <c r="C35" s="46"/>
      <c r="D35" s="46"/>
      <c r="E35" s="46"/>
      <c r="F35" s="46"/>
      <c r="G35" s="46"/>
      <c r="H35" s="46"/>
      <c r="I35" s="46"/>
      <c r="J35" s="46"/>
      <c r="K35" s="46"/>
      <c r="L35" s="46"/>
      <c r="M35" s="46"/>
      <c r="N35" s="171"/>
      <c r="O35" s="42"/>
      <c r="P35" s="42"/>
      <c r="Q35" s="51"/>
      <c r="R35" s="49"/>
      <c r="S35" s="42"/>
    </row>
    <row r="36" spans="1:19" s="167" customFormat="1" x14ac:dyDescent="0.25">
      <c r="A36" s="51"/>
      <c r="B36" s="106"/>
      <c r="C36" s="46"/>
      <c r="D36" s="46"/>
      <c r="E36" s="46"/>
      <c r="F36" s="46"/>
      <c r="G36" s="46"/>
      <c r="H36" s="46"/>
      <c r="I36" s="46"/>
      <c r="J36" s="46"/>
      <c r="K36" s="46"/>
      <c r="L36" s="46"/>
      <c r="M36" s="46"/>
      <c r="N36" s="171"/>
      <c r="O36" s="42"/>
      <c r="P36" s="42"/>
      <c r="Q36" s="51"/>
      <c r="R36" s="49"/>
      <c r="S36" s="42"/>
    </row>
    <row r="37" spans="1:19" s="167" customFormat="1" x14ac:dyDescent="0.25">
      <c r="A37" s="51"/>
      <c r="B37" s="106"/>
      <c r="C37" s="46"/>
      <c r="D37" s="46"/>
      <c r="E37" s="46"/>
      <c r="F37" s="46"/>
      <c r="G37" s="46"/>
      <c r="H37" s="46"/>
      <c r="I37" s="46"/>
      <c r="J37" s="46"/>
      <c r="K37" s="46"/>
      <c r="L37" s="46"/>
      <c r="M37" s="46"/>
      <c r="N37" s="171"/>
      <c r="O37" s="42"/>
      <c r="P37" s="42"/>
      <c r="Q37" s="51"/>
      <c r="R37" s="49"/>
      <c r="S37" s="42"/>
    </row>
    <row r="38" spans="1:19" s="167" customFormat="1" x14ac:dyDescent="0.25">
      <c r="A38" s="51"/>
      <c r="B38" s="106"/>
      <c r="C38" s="46"/>
      <c r="D38" s="46"/>
      <c r="E38" s="46"/>
      <c r="F38" s="46"/>
      <c r="G38" s="46"/>
      <c r="H38" s="46"/>
      <c r="I38" s="46"/>
      <c r="J38" s="46"/>
      <c r="K38" s="46"/>
      <c r="L38" s="46"/>
      <c r="M38" s="46"/>
      <c r="N38" s="171"/>
      <c r="O38" s="42"/>
      <c r="P38" s="42"/>
      <c r="Q38" s="51"/>
      <c r="R38" s="49"/>
      <c r="S38" s="42"/>
    </row>
    <row r="39" spans="1:19" s="167" customFormat="1" x14ac:dyDescent="0.25">
      <c r="A39" s="51"/>
      <c r="B39" s="106"/>
      <c r="C39" s="46"/>
      <c r="D39" s="46"/>
      <c r="E39" s="46"/>
      <c r="F39" s="46"/>
      <c r="G39" s="46"/>
      <c r="H39" s="46"/>
      <c r="I39" s="46"/>
      <c r="J39" s="46"/>
      <c r="K39" s="46"/>
      <c r="L39" s="46"/>
      <c r="M39" s="46"/>
      <c r="N39" s="171"/>
      <c r="O39" s="42"/>
      <c r="P39" s="42"/>
      <c r="Q39" s="51"/>
      <c r="R39" s="49"/>
      <c r="S39" s="42"/>
    </row>
    <row r="40" spans="1:19" s="167" customFormat="1" x14ac:dyDescent="0.25">
      <c r="A40" s="51"/>
      <c r="B40" s="106"/>
      <c r="C40" s="46"/>
      <c r="D40" s="46"/>
      <c r="E40" s="46"/>
      <c r="F40" s="46"/>
      <c r="G40" s="46"/>
      <c r="H40" s="46"/>
      <c r="I40" s="46"/>
      <c r="J40" s="46"/>
      <c r="K40" s="46"/>
      <c r="L40" s="46"/>
      <c r="M40" s="46"/>
      <c r="N40" s="171"/>
      <c r="O40" s="42"/>
      <c r="P40" s="42"/>
      <c r="Q40" s="51"/>
      <c r="R40" s="49"/>
      <c r="S40" s="42"/>
    </row>
    <row r="41" spans="1:19" s="167" customFormat="1" x14ac:dyDescent="0.25">
      <c r="A41" s="51"/>
      <c r="B41" s="106"/>
      <c r="C41" s="46"/>
      <c r="D41" s="46"/>
      <c r="E41" s="46"/>
      <c r="F41" s="46"/>
      <c r="G41" s="46"/>
      <c r="H41" s="46"/>
      <c r="I41" s="46"/>
      <c r="J41" s="46"/>
      <c r="K41" s="46"/>
      <c r="L41" s="46"/>
      <c r="M41" s="46"/>
      <c r="N41" s="171"/>
      <c r="O41" s="42"/>
      <c r="P41" s="42"/>
      <c r="Q41" s="51"/>
      <c r="R41" s="49"/>
      <c r="S41" s="42"/>
    </row>
    <row r="42" spans="1:19" s="167" customFormat="1" x14ac:dyDescent="0.25">
      <c r="A42" s="51"/>
      <c r="B42" s="106"/>
      <c r="C42" s="46"/>
      <c r="D42" s="46"/>
      <c r="E42" s="46"/>
      <c r="F42" s="46"/>
      <c r="G42" s="46"/>
      <c r="H42" s="46"/>
      <c r="I42" s="46"/>
      <c r="J42" s="46"/>
      <c r="K42" s="46"/>
      <c r="L42" s="46"/>
      <c r="M42" s="46"/>
      <c r="N42" s="171"/>
      <c r="O42" s="42"/>
      <c r="P42" s="42"/>
      <c r="Q42" s="51"/>
      <c r="R42" s="49"/>
      <c r="S42" s="42"/>
    </row>
    <row r="43" spans="1:19" s="167" customFormat="1" x14ac:dyDescent="0.25">
      <c r="A43" s="165"/>
      <c r="B43" s="106"/>
      <c r="C43" s="170"/>
      <c r="D43" s="170"/>
      <c r="E43" s="170"/>
      <c r="F43" s="170"/>
      <c r="G43" s="170"/>
      <c r="H43" s="170"/>
      <c r="I43" s="170"/>
      <c r="J43" s="170"/>
      <c r="K43" s="170"/>
      <c r="L43" s="170"/>
      <c r="M43" s="170"/>
      <c r="N43" s="169"/>
      <c r="Q43" s="165"/>
      <c r="R43" s="178"/>
    </row>
    <row r="44" spans="1:19" s="167" customFormat="1" x14ac:dyDescent="0.25">
      <c r="A44" s="165"/>
      <c r="B44" s="106"/>
      <c r="C44" s="170"/>
      <c r="D44" s="170"/>
      <c r="E44" s="170"/>
      <c r="F44" s="170"/>
      <c r="G44" s="170"/>
      <c r="H44" s="170"/>
      <c r="I44" s="170"/>
      <c r="J44" s="170"/>
      <c r="K44" s="170"/>
      <c r="L44" s="170"/>
      <c r="M44" s="170"/>
      <c r="N44" s="169"/>
      <c r="Q44" s="165"/>
      <c r="R44" s="178"/>
    </row>
    <row r="45" spans="1:19" s="167" customFormat="1" x14ac:dyDescent="0.25">
      <c r="A45" s="165"/>
      <c r="B45" s="106"/>
      <c r="C45" s="170"/>
      <c r="D45" s="170"/>
      <c r="E45" s="170"/>
      <c r="F45" s="170"/>
      <c r="G45" s="170"/>
      <c r="H45" s="170"/>
      <c r="I45" s="170"/>
      <c r="J45" s="170"/>
      <c r="K45" s="170"/>
      <c r="L45" s="170"/>
      <c r="M45" s="170"/>
      <c r="N45" s="169"/>
      <c r="Q45" s="165"/>
      <c r="R45" s="178"/>
    </row>
    <row r="46" spans="1:19" s="167" customFormat="1" x14ac:dyDescent="0.25">
      <c r="A46" s="165"/>
      <c r="B46" s="106"/>
      <c r="C46" s="170"/>
      <c r="D46" s="170"/>
      <c r="E46" s="170"/>
      <c r="F46" s="170"/>
      <c r="G46" s="170"/>
      <c r="H46" s="170"/>
      <c r="I46" s="170"/>
      <c r="J46" s="170"/>
      <c r="K46" s="170"/>
      <c r="L46" s="170"/>
      <c r="M46" s="170"/>
      <c r="N46" s="169"/>
      <c r="Q46" s="165"/>
      <c r="R46" s="178"/>
    </row>
    <row r="47" spans="1:19" s="167" customFormat="1" x14ac:dyDescent="0.25">
      <c r="A47" s="165"/>
      <c r="B47" s="106"/>
      <c r="C47" s="170"/>
      <c r="D47" s="170"/>
      <c r="E47" s="170"/>
      <c r="F47" s="170"/>
      <c r="G47" s="170"/>
      <c r="H47" s="170"/>
      <c r="I47" s="170"/>
      <c r="J47" s="170"/>
      <c r="K47" s="170"/>
      <c r="L47" s="170"/>
      <c r="M47" s="170"/>
      <c r="N47" s="169"/>
      <c r="Q47" s="165"/>
      <c r="R47" s="178"/>
    </row>
    <row r="48" spans="1:19" s="167" customFormat="1" x14ac:dyDescent="0.25">
      <c r="A48" s="165"/>
      <c r="B48" s="106"/>
      <c r="C48" s="170"/>
      <c r="D48" s="170"/>
      <c r="E48" s="170"/>
      <c r="F48" s="170"/>
      <c r="G48" s="170"/>
      <c r="H48" s="170"/>
      <c r="I48" s="170"/>
      <c r="J48" s="170"/>
      <c r="K48" s="170"/>
      <c r="L48" s="170"/>
      <c r="M48" s="170"/>
      <c r="N48" s="169"/>
      <c r="Q48" s="165"/>
      <c r="R48" s="178"/>
    </row>
    <row r="49" spans="1:18" s="167" customFormat="1" x14ac:dyDescent="0.25">
      <c r="A49" s="165"/>
      <c r="B49" s="106"/>
      <c r="C49" s="170"/>
      <c r="D49" s="170"/>
      <c r="E49" s="170"/>
      <c r="F49" s="170"/>
      <c r="G49" s="170"/>
      <c r="H49" s="170"/>
      <c r="I49" s="170"/>
      <c r="J49" s="170"/>
      <c r="K49" s="170"/>
      <c r="L49" s="170"/>
      <c r="M49" s="170"/>
      <c r="N49" s="169"/>
      <c r="Q49" s="165"/>
      <c r="R49" s="178"/>
    </row>
    <row r="50" spans="1:18" s="167" customFormat="1" x14ac:dyDescent="0.25">
      <c r="A50" s="165"/>
      <c r="B50" s="106"/>
      <c r="C50" s="170"/>
      <c r="D50" s="170"/>
      <c r="E50" s="170"/>
      <c r="F50" s="170"/>
      <c r="G50" s="170"/>
      <c r="H50" s="170"/>
      <c r="I50" s="170"/>
      <c r="J50" s="170"/>
      <c r="K50" s="170"/>
      <c r="L50" s="170"/>
      <c r="M50" s="170"/>
      <c r="N50" s="169"/>
      <c r="Q50" s="165"/>
      <c r="R50" s="178"/>
    </row>
    <row r="51" spans="1:18" s="167" customFormat="1" x14ac:dyDescent="0.25">
      <c r="A51" s="165"/>
      <c r="B51" s="106"/>
      <c r="C51" s="170"/>
      <c r="D51" s="170"/>
      <c r="E51" s="170"/>
      <c r="F51" s="170"/>
      <c r="G51" s="170"/>
      <c r="H51" s="170"/>
      <c r="I51" s="170"/>
      <c r="J51" s="170"/>
      <c r="K51" s="170"/>
      <c r="L51" s="170"/>
      <c r="M51" s="170"/>
      <c r="N51" s="169"/>
      <c r="Q51" s="165"/>
      <c r="R51" s="178"/>
    </row>
    <row r="52" spans="1:18" s="167" customFormat="1" x14ac:dyDescent="0.25">
      <c r="A52" s="165"/>
      <c r="B52" s="106"/>
      <c r="C52" s="170"/>
      <c r="D52" s="170"/>
      <c r="E52" s="170"/>
      <c r="F52" s="170"/>
      <c r="G52" s="170"/>
      <c r="H52" s="170"/>
      <c r="I52" s="170"/>
      <c r="J52" s="170"/>
      <c r="K52" s="170"/>
      <c r="L52" s="170"/>
      <c r="M52" s="170"/>
      <c r="N52" s="169"/>
      <c r="Q52" s="165"/>
      <c r="R52" s="178"/>
    </row>
    <row r="53" spans="1:18" s="167" customFormat="1" x14ac:dyDescent="0.25">
      <c r="A53" s="165"/>
      <c r="B53" s="106"/>
      <c r="C53" s="170"/>
      <c r="D53" s="170"/>
      <c r="E53" s="170"/>
      <c r="F53" s="170"/>
      <c r="G53" s="170"/>
      <c r="H53" s="170"/>
      <c r="I53" s="170"/>
      <c r="J53" s="170"/>
      <c r="K53" s="170"/>
      <c r="L53" s="170"/>
      <c r="M53" s="170"/>
      <c r="N53" s="169"/>
      <c r="Q53" s="165"/>
      <c r="R53" s="178"/>
    </row>
    <row r="54" spans="1:18" s="167" customFormat="1" x14ac:dyDescent="0.25">
      <c r="A54" s="165"/>
      <c r="B54" s="106"/>
      <c r="C54" s="170"/>
      <c r="D54" s="170"/>
      <c r="E54" s="170"/>
      <c r="F54" s="170"/>
      <c r="G54" s="170"/>
      <c r="H54" s="170"/>
      <c r="I54" s="170"/>
      <c r="J54" s="170"/>
      <c r="K54" s="170"/>
      <c r="L54" s="170"/>
      <c r="M54" s="170"/>
      <c r="N54" s="169"/>
      <c r="Q54" s="165"/>
      <c r="R54" s="178"/>
    </row>
    <row r="55" spans="1:18" s="167" customFormat="1" x14ac:dyDescent="0.25">
      <c r="A55" s="165"/>
      <c r="B55" s="106"/>
      <c r="C55" s="170"/>
      <c r="D55" s="170"/>
      <c r="E55" s="170"/>
      <c r="F55" s="170"/>
      <c r="G55" s="170"/>
      <c r="H55" s="170"/>
      <c r="I55" s="170"/>
      <c r="J55" s="170"/>
      <c r="K55" s="170"/>
      <c r="L55" s="170"/>
      <c r="M55" s="170"/>
      <c r="N55" s="169"/>
      <c r="Q55" s="165"/>
      <c r="R55" s="178"/>
    </row>
    <row r="56" spans="1:18" s="167" customFormat="1" x14ac:dyDescent="0.25">
      <c r="A56" s="165"/>
      <c r="B56" s="106"/>
      <c r="C56" s="170"/>
      <c r="D56" s="170"/>
      <c r="E56" s="170"/>
      <c r="F56" s="170"/>
      <c r="G56" s="170"/>
      <c r="H56" s="170"/>
      <c r="I56" s="170"/>
      <c r="J56" s="170"/>
      <c r="K56" s="170"/>
      <c r="L56" s="170"/>
      <c r="M56" s="170"/>
      <c r="N56" s="169"/>
      <c r="Q56" s="165"/>
      <c r="R56" s="178"/>
    </row>
    <row r="57" spans="1:18" s="167" customFormat="1" x14ac:dyDescent="0.25">
      <c r="A57" s="165"/>
      <c r="B57" s="106"/>
      <c r="C57" s="170"/>
      <c r="D57" s="170"/>
      <c r="E57" s="170"/>
      <c r="F57" s="170"/>
      <c r="G57" s="170"/>
      <c r="H57" s="170"/>
      <c r="I57" s="170"/>
      <c r="J57" s="170"/>
      <c r="K57" s="170"/>
      <c r="L57" s="170"/>
      <c r="M57" s="170"/>
      <c r="N57" s="169"/>
      <c r="Q57" s="165"/>
      <c r="R57" s="178"/>
    </row>
    <row r="58" spans="1:18" s="167" customFormat="1" x14ac:dyDescent="0.25">
      <c r="A58" s="165"/>
      <c r="B58" s="106"/>
      <c r="C58" s="170"/>
      <c r="D58" s="170"/>
      <c r="E58" s="170"/>
      <c r="F58" s="170"/>
      <c r="G58" s="170"/>
      <c r="H58" s="170"/>
      <c r="I58" s="170"/>
      <c r="J58" s="170"/>
      <c r="K58" s="170"/>
      <c r="L58" s="170"/>
      <c r="M58" s="170"/>
      <c r="N58" s="169"/>
      <c r="Q58" s="165"/>
      <c r="R58" s="178"/>
    </row>
    <row r="59" spans="1:18" s="167" customFormat="1" x14ac:dyDescent="0.25">
      <c r="A59" s="165"/>
      <c r="B59" s="106"/>
      <c r="C59" s="170"/>
      <c r="D59" s="170"/>
      <c r="E59" s="170"/>
      <c r="F59" s="170"/>
      <c r="G59" s="170"/>
      <c r="H59" s="170"/>
      <c r="I59" s="170"/>
      <c r="J59" s="170"/>
      <c r="K59" s="170"/>
      <c r="L59" s="170"/>
      <c r="M59" s="170"/>
      <c r="N59" s="169"/>
      <c r="Q59" s="165"/>
      <c r="R59" s="178"/>
    </row>
    <row r="60" spans="1:18" s="167" customFormat="1" x14ac:dyDescent="0.25">
      <c r="A60" s="165"/>
      <c r="B60" s="106"/>
      <c r="C60" s="170"/>
      <c r="D60" s="170"/>
      <c r="E60" s="170"/>
      <c r="F60" s="170"/>
      <c r="G60" s="170"/>
      <c r="H60" s="170"/>
      <c r="I60" s="170"/>
      <c r="J60" s="170"/>
      <c r="K60" s="170"/>
      <c r="L60" s="170"/>
      <c r="M60" s="170"/>
      <c r="N60" s="169"/>
      <c r="Q60" s="165"/>
      <c r="R60" s="178"/>
    </row>
    <row r="61" spans="1:18" s="167" customFormat="1" x14ac:dyDescent="0.25">
      <c r="A61" s="165"/>
      <c r="B61" s="106"/>
      <c r="C61" s="170"/>
      <c r="D61" s="170"/>
      <c r="E61" s="170"/>
      <c r="F61" s="170"/>
      <c r="G61" s="170"/>
      <c r="H61" s="170"/>
      <c r="I61" s="170"/>
      <c r="J61" s="170"/>
      <c r="K61" s="170"/>
      <c r="L61" s="170"/>
      <c r="M61" s="170"/>
      <c r="N61" s="169"/>
      <c r="Q61" s="165"/>
      <c r="R61" s="178"/>
    </row>
    <row r="62" spans="1:18" s="167" customFormat="1" x14ac:dyDescent="0.25">
      <c r="A62" s="165"/>
      <c r="B62" s="106"/>
      <c r="C62" s="170"/>
      <c r="D62" s="170"/>
      <c r="E62" s="170"/>
      <c r="F62" s="170"/>
      <c r="G62" s="170"/>
      <c r="H62" s="170"/>
      <c r="I62" s="170"/>
      <c r="J62" s="170"/>
      <c r="K62" s="170"/>
      <c r="L62" s="170"/>
      <c r="M62" s="170"/>
      <c r="N62" s="169"/>
      <c r="Q62" s="165"/>
      <c r="R62" s="178"/>
    </row>
    <row r="63" spans="1:18" s="167" customFormat="1" x14ac:dyDescent="0.25">
      <c r="A63" s="165"/>
      <c r="B63" s="106"/>
      <c r="C63" s="170"/>
      <c r="D63" s="170"/>
      <c r="E63" s="170"/>
      <c r="F63" s="170"/>
      <c r="G63" s="170"/>
      <c r="H63" s="170"/>
      <c r="I63" s="170"/>
      <c r="J63" s="170"/>
      <c r="K63" s="170"/>
      <c r="L63" s="170"/>
      <c r="M63" s="170"/>
      <c r="N63" s="169"/>
      <c r="Q63" s="165"/>
      <c r="R63" s="178"/>
    </row>
    <row r="64" spans="1:18" s="167" customFormat="1" x14ac:dyDescent="0.25">
      <c r="A64" s="165"/>
      <c r="B64" s="106"/>
      <c r="C64" s="170"/>
      <c r="D64" s="170"/>
      <c r="E64" s="170"/>
      <c r="F64" s="170"/>
      <c r="G64" s="170"/>
      <c r="H64" s="170"/>
      <c r="I64" s="170"/>
      <c r="J64" s="170"/>
      <c r="K64" s="170"/>
      <c r="L64" s="170"/>
      <c r="M64" s="170"/>
      <c r="N64" s="169"/>
      <c r="Q64" s="165"/>
      <c r="R64" s="178"/>
    </row>
    <row r="65" spans="1:18" s="167" customFormat="1" x14ac:dyDescent="0.25">
      <c r="A65" s="165"/>
      <c r="B65" s="106"/>
      <c r="C65" s="170"/>
      <c r="D65" s="170"/>
      <c r="E65" s="170"/>
      <c r="F65" s="170"/>
      <c r="G65" s="170"/>
      <c r="H65" s="170"/>
      <c r="I65" s="170"/>
      <c r="J65" s="170"/>
      <c r="K65" s="170"/>
      <c r="L65" s="170"/>
      <c r="M65" s="170"/>
      <c r="N65" s="169"/>
      <c r="Q65" s="165"/>
      <c r="R65" s="178"/>
    </row>
    <row r="66" spans="1:18" s="167" customFormat="1" x14ac:dyDescent="0.25">
      <c r="A66" s="165"/>
      <c r="B66" s="106"/>
      <c r="C66" s="170"/>
      <c r="D66" s="170"/>
      <c r="E66" s="170"/>
      <c r="F66" s="170"/>
      <c r="G66" s="170"/>
      <c r="H66" s="170"/>
      <c r="I66" s="170"/>
      <c r="J66" s="170"/>
      <c r="K66" s="170"/>
      <c r="L66" s="170"/>
      <c r="M66" s="170"/>
      <c r="N66" s="169"/>
      <c r="Q66" s="165"/>
      <c r="R66" s="178"/>
    </row>
    <row r="67" spans="1:18" s="167" customFormat="1" x14ac:dyDescent="0.25">
      <c r="A67" s="165"/>
      <c r="B67" s="106"/>
      <c r="C67" s="170"/>
      <c r="D67" s="170"/>
      <c r="E67" s="170"/>
      <c r="F67" s="170"/>
      <c r="G67" s="170"/>
      <c r="H67" s="170"/>
      <c r="I67" s="170"/>
      <c r="J67" s="170"/>
      <c r="K67" s="170"/>
      <c r="L67" s="170"/>
      <c r="M67" s="170"/>
      <c r="N67" s="169"/>
      <c r="Q67" s="165"/>
      <c r="R67" s="178"/>
    </row>
    <row r="68" spans="1:18" s="167" customFormat="1" x14ac:dyDescent="0.25">
      <c r="A68" s="165"/>
      <c r="B68" s="106"/>
      <c r="C68" s="170"/>
      <c r="D68" s="170"/>
      <c r="E68" s="170"/>
      <c r="F68" s="170"/>
      <c r="G68" s="170"/>
      <c r="H68" s="170"/>
      <c r="I68" s="170"/>
      <c r="J68" s="170"/>
      <c r="K68" s="170"/>
      <c r="L68" s="170"/>
      <c r="M68" s="170"/>
      <c r="N68" s="169"/>
      <c r="Q68" s="165"/>
      <c r="R68" s="178"/>
    </row>
    <row r="69" spans="1:18" s="167" customFormat="1" x14ac:dyDescent="0.25">
      <c r="A69" s="165"/>
      <c r="B69" s="106"/>
      <c r="C69" s="170"/>
      <c r="D69" s="170"/>
      <c r="E69" s="170"/>
      <c r="F69" s="170"/>
      <c r="G69" s="170"/>
      <c r="H69" s="170"/>
      <c r="I69" s="170"/>
      <c r="J69" s="170"/>
      <c r="K69" s="170"/>
      <c r="L69" s="170"/>
      <c r="M69" s="170"/>
      <c r="N69" s="169"/>
      <c r="Q69" s="165"/>
      <c r="R69" s="178"/>
    </row>
    <row r="70" spans="1:18" s="167" customFormat="1" x14ac:dyDescent="0.25">
      <c r="A70" s="165"/>
      <c r="B70" s="106"/>
      <c r="C70" s="170"/>
      <c r="D70" s="170"/>
      <c r="E70" s="170"/>
      <c r="F70" s="170"/>
      <c r="G70" s="170"/>
      <c r="H70" s="170"/>
      <c r="I70" s="170"/>
      <c r="J70" s="170"/>
      <c r="K70" s="170"/>
      <c r="L70" s="170"/>
      <c r="M70" s="170"/>
      <c r="N70" s="169"/>
      <c r="Q70" s="165"/>
      <c r="R70" s="178"/>
    </row>
    <row r="71" spans="1:18" s="167" customFormat="1" x14ac:dyDescent="0.25">
      <c r="A71" s="165"/>
      <c r="B71" s="106"/>
      <c r="C71" s="170"/>
      <c r="D71" s="170"/>
      <c r="E71" s="170"/>
      <c r="F71" s="170"/>
      <c r="G71" s="170"/>
      <c r="H71" s="170"/>
      <c r="I71" s="170"/>
      <c r="J71" s="170"/>
      <c r="K71" s="170"/>
      <c r="L71" s="170"/>
      <c r="M71" s="170"/>
      <c r="N71" s="169"/>
      <c r="Q71" s="165"/>
      <c r="R71" s="178"/>
    </row>
    <row r="72" spans="1:18" s="167" customFormat="1" x14ac:dyDescent="0.25">
      <c r="A72" s="165"/>
      <c r="B72" s="106"/>
      <c r="C72" s="170"/>
      <c r="D72" s="170"/>
      <c r="E72" s="170"/>
      <c r="F72" s="170"/>
      <c r="G72" s="170"/>
      <c r="H72" s="170"/>
      <c r="I72" s="170"/>
      <c r="J72" s="170"/>
      <c r="K72" s="170"/>
      <c r="L72" s="170"/>
      <c r="M72" s="170"/>
      <c r="N72" s="169"/>
      <c r="Q72" s="165"/>
      <c r="R72" s="178"/>
    </row>
    <row r="73" spans="1:18" s="167" customFormat="1" x14ac:dyDescent="0.25">
      <c r="A73" s="165"/>
      <c r="B73" s="106"/>
      <c r="C73" s="170"/>
      <c r="D73" s="170"/>
      <c r="E73" s="170"/>
      <c r="F73" s="170"/>
      <c r="G73" s="170"/>
      <c r="H73" s="170"/>
      <c r="I73" s="170"/>
      <c r="J73" s="170"/>
      <c r="K73" s="170"/>
      <c r="L73" s="170"/>
      <c r="M73" s="170"/>
      <c r="N73" s="169"/>
      <c r="Q73" s="165"/>
      <c r="R73" s="178"/>
    </row>
    <row r="74" spans="1:18" s="167" customFormat="1" x14ac:dyDescent="0.25">
      <c r="A74" s="165"/>
      <c r="B74" s="106"/>
      <c r="C74" s="170"/>
      <c r="D74" s="170"/>
      <c r="E74" s="170"/>
      <c r="F74" s="170"/>
      <c r="G74" s="170"/>
      <c r="H74" s="170"/>
      <c r="I74" s="170"/>
      <c r="J74" s="170"/>
      <c r="K74" s="170"/>
      <c r="L74" s="170"/>
      <c r="M74" s="170"/>
      <c r="N74" s="169"/>
      <c r="Q74" s="165"/>
      <c r="R74" s="178"/>
    </row>
    <row r="75" spans="1:18" s="167" customFormat="1" x14ac:dyDescent="0.25">
      <c r="A75" s="165"/>
      <c r="B75" s="106"/>
      <c r="C75" s="170"/>
      <c r="D75" s="170"/>
      <c r="E75" s="170"/>
      <c r="F75" s="170"/>
      <c r="G75" s="170"/>
      <c r="H75" s="170"/>
      <c r="I75" s="170"/>
      <c r="J75" s="170"/>
      <c r="K75" s="170"/>
      <c r="L75" s="170"/>
      <c r="M75" s="170"/>
      <c r="N75" s="169"/>
      <c r="Q75" s="165"/>
      <c r="R75" s="178"/>
    </row>
  </sheetData>
  <autoFilter ref="A1:T30" xr:uid="{00000000-0009-0000-0000-000007000000}"/>
  <printOptions gridLines="1"/>
  <pageMargins left="0.75" right="0.75" top="1" bottom="1" header="0.5" footer="0.5"/>
  <pageSetup scale="88" orientation="landscape" r:id="rId1"/>
  <headerFooter alignWithMargins="0">
    <oddHeader>&amp;L&amp;D&amp;C&amp;F - &amp;A&amp;R&amp;T</oddHeader>
    <oddFooter>Page &amp;P of &amp;N</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S74"/>
  <sheetViews>
    <sheetView zoomScale="85" zoomScaleNormal="85" workbookViewId="0">
      <pane xSplit="2" ySplit="1" topLeftCell="C6" activePane="bottomRight" state="frozenSplit"/>
      <selection pane="topRight" activeCell="D1" sqref="D1"/>
      <selection pane="bottomLeft" activeCell="A105" sqref="A105"/>
      <selection pane="bottomRight" activeCell="Y9" sqref="Y9"/>
    </sheetView>
  </sheetViews>
  <sheetFormatPr defaultColWidth="9.1796875" defaultRowHeight="12.5" x14ac:dyDescent="0.25"/>
  <cols>
    <col min="1" max="1" width="8.54296875" style="105" customWidth="1"/>
    <col min="2" max="2" width="17.7265625" style="106" customWidth="1"/>
    <col min="3" max="4" width="6.54296875" style="107" customWidth="1"/>
    <col min="5" max="5" width="5" style="107" customWidth="1"/>
    <col min="6" max="10" width="3.7265625" style="107" customWidth="1"/>
    <col min="11" max="11" width="5.453125" style="107" customWidth="1"/>
    <col min="12" max="12" width="4.81640625" style="230" customWidth="1"/>
    <col min="13" max="13" width="2.7265625" style="109" customWidth="1"/>
    <col min="14" max="14" width="2.81640625" style="109" customWidth="1"/>
    <col min="15" max="15" width="40.7265625" style="105" customWidth="1"/>
    <col min="16" max="16" width="12.453125" style="110" bestFit="1" customWidth="1"/>
    <col min="17" max="16384" width="9.1796875" style="109"/>
  </cols>
  <sheetData>
    <row r="1" spans="1:19" s="156" customFormat="1" ht="54.75" customHeight="1" x14ac:dyDescent="0.3">
      <c r="A1" s="148" t="s">
        <v>233</v>
      </c>
      <c r="B1" s="149" t="s">
        <v>242</v>
      </c>
      <c r="C1" s="150" t="s">
        <v>447</v>
      </c>
      <c r="D1" s="150" t="s">
        <v>448</v>
      </c>
      <c r="E1" s="150" t="s">
        <v>135</v>
      </c>
      <c r="F1" s="150" t="s">
        <v>689</v>
      </c>
      <c r="G1" s="150" t="s">
        <v>690</v>
      </c>
      <c r="H1" s="150" t="s">
        <v>235</v>
      </c>
      <c r="I1" s="150" t="s">
        <v>234</v>
      </c>
      <c r="J1" s="150" t="s">
        <v>691</v>
      </c>
      <c r="K1" s="150" t="s">
        <v>131</v>
      </c>
      <c r="L1" s="223" t="s">
        <v>132</v>
      </c>
      <c r="M1" s="152" t="s">
        <v>12</v>
      </c>
      <c r="N1" s="152" t="s">
        <v>156</v>
      </c>
      <c r="O1" s="153" t="s">
        <v>155</v>
      </c>
      <c r="P1" s="154" t="s">
        <v>157</v>
      </c>
      <c r="Q1" s="155">
        <f>SUM(M3:M23)</f>
        <v>1</v>
      </c>
      <c r="R1" s="155">
        <f>SUM(N3:N23)</f>
        <v>11</v>
      </c>
    </row>
    <row r="2" spans="1:19" ht="25" x14ac:dyDescent="0.25">
      <c r="B2" s="36">
        <v>34602.140277777777</v>
      </c>
      <c r="M2" s="109">
        <v>0</v>
      </c>
      <c r="N2" s="109">
        <v>1</v>
      </c>
      <c r="O2" s="44" t="s">
        <v>701</v>
      </c>
      <c r="P2" s="110">
        <v>40560</v>
      </c>
    </row>
    <row r="3" spans="1:19" s="42" customFormat="1" ht="37.5" x14ac:dyDescent="0.3">
      <c r="A3" s="157"/>
      <c r="B3" s="36">
        <v>35316.130555555559</v>
      </c>
      <c r="C3" s="18"/>
      <c r="D3" s="18"/>
      <c r="E3" s="18"/>
      <c r="F3" s="164"/>
      <c r="G3" s="164"/>
      <c r="H3" s="164"/>
      <c r="I3" s="164"/>
      <c r="J3" s="164"/>
      <c r="K3" s="231"/>
      <c r="L3" s="232"/>
      <c r="M3" s="17">
        <v>0</v>
      </c>
      <c r="N3" s="17">
        <v>3</v>
      </c>
      <c r="O3" s="14" t="s">
        <v>702</v>
      </c>
      <c r="P3" s="110">
        <v>40560</v>
      </c>
      <c r="Q3" s="162"/>
    </row>
    <row r="4" spans="1:19" s="42" customFormat="1" ht="13" x14ac:dyDescent="0.3">
      <c r="A4" s="157"/>
      <c r="B4" s="36">
        <v>38963</v>
      </c>
      <c r="C4" s="18">
        <v>3.6</v>
      </c>
      <c r="D4" s="18">
        <v>5.7</v>
      </c>
      <c r="E4" s="18">
        <f t="shared" ref="E4:E9" si="0">-LOG((1/(C4*C4))*(2.511^(-D4)))/LOG(2.511)</f>
        <v>8.4825788387396113</v>
      </c>
      <c r="F4" s="164"/>
      <c r="G4" s="164" t="s">
        <v>435</v>
      </c>
      <c r="H4" s="164" t="s">
        <v>435</v>
      </c>
      <c r="I4" s="164" t="s">
        <v>435</v>
      </c>
      <c r="J4" s="164"/>
      <c r="K4" s="231">
        <v>19.8</v>
      </c>
      <c r="L4" s="232"/>
      <c r="M4" s="17"/>
      <c r="N4" s="17"/>
      <c r="O4" s="14" t="s">
        <v>616</v>
      </c>
      <c r="P4" s="19"/>
      <c r="Q4" s="162"/>
    </row>
    <row r="5" spans="1:19" s="163" customFormat="1" ht="100" x14ac:dyDescent="0.3">
      <c r="A5" s="157"/>
      <c r="B5" s="36">
        <v>39771</v>
      </c>
      <c r="C5" s="18">
        <v>3.5</v>
      </c>
      <c r="D5" s="18">
        <v>5.8</v>
      </c>
      <c r="E5" s="18">
        <f t="shared" si="0"/>
        <v>8.5213831053346674</v>
      </c>
      <c r="F5" s="46"/>
      <c r="G5" s="46"/>
      <c r="H5" s="46"/>
      <c r="I5" s="46"/>
      <c r="J5" s="46"/>
      <c r="K5" s="42"/>
      <c r="L5" s="232"/>
      <c r="M5" s="17">
        <v>1</v>
      </c>
      <c r="N5" s="17">
        <v>0</v>
      </c>
      <c r="O5" s="14" t="s">
        <v>186</v>
      </c>
      <c r="P5" s="19">
        <v>39772</v>
      </c>
      <c r="Q5" s="156"/>
      <c r="R5" s="42"/>
    </row>
    <row r="6" spans="1:19" s="42" customFormat="1" ht="150" x14ac:dyDescent="0.3">
      <c r="A6" s="157"/>
      <c r="B6" s="36">
        <v>39771</v>
      </c>
      <c r="C6" s="18">
        <v>3.5</v>
      </c>
      <c r="D6" s="18">
        <v>5.8</v>
      </c>
      <c r="E6" s="18">
        <f t="shared" si="0"/>
        <v>8.5213831053346674</v>
      </c>
      <c r="F6" s="46"/>
      <c r="G6" s="46"/>
      <c r="H6" s="46"/>
      <c r="I6" s="46"/>
      <c r="J6" s="46"/>
      <c r="K6" s="160"/>
      <c r="L6" s="232"/>
      <c r="M6" s="17">
        <v>0</v>
      </c>
      <c r="N6" s="17">
        <v>3</v>
      </c>
      <c r="O6" s="14" t="s">
        <v>187</v>
      </c>
      <c r="P6" s="19">
        <v>39772</v>
      </c>
      <c r="Q6" s="162"/>
      <c r="R6" s="163"/>
    </row>
    <row r="7" spans="1:19" s="42" customFormat="1" ht="50" x14ac:dyDescent="0.3">
      <c r="A7" s="157"/>
      <c r="B7" s="36">
        <v>40447.208333333336</v>
      </c>
      <c r="C7" s="18"/>
      <c r="D7" s="18"/>
      <c r="E7" s="18" t="e">
        <f t="shared" si="0"/>
        <v>#DIV/0!</v>
      </c>
      <c r="F7" s="46"/>
      <c r="G7" s="46"/>
      <c r="H7" s="46"/>
      <c r="I7" s="46"/>
      <c r="J7" s="46"/>
      <c r="K7" s="238"/>
      <c r="L7" s="232"/>
      <c r="M7" s="17">
        <v>0</v>
      </c>
      <c r="N7" s="17">
        <v>1</v>
      </c>
      <c r="O7" s="14" t="s">
        <v>617</v>
      </c>
      <c r="P7" s="19">
        <v>40448</v>
      </c>
      <c r="Q7" s="162"/>
    </row>
    <row r="8" spans="1:19" s="42" customFormat="1" ht="50" x14ac:dyDescent="0.3">
      <c r="A8" s="157"/>
      <c r="B8" s="36">
        <v>40450.219444444447</v>
      </c>
      <c r="C8" s="18">
        <v>3.7</v>
      </c>
      <c r="D8" s="18">
        <v>5.7</v>
      </c>
      <c r="E8" s="18">
        <f t="shared" si="0"/>
        <v>8.5420977639745974</v>
      </c>
      <c r="F8" s="46"/>
      <c r="G8" s="46"/>
      <c r="H8" s="46"/>
      <c r="I8" s="46"/>
      <c r="J8" s="46"/>
      <c r="K8" s="46">
        <v>45</v>
      </c>
      <c r="L8" s="232">
        <v>0.6</v>
      </c>
      <c r="M8" s="17">
        <v>0</v>
      </c>
      <c r="N8" s="17">
        <v>1</v>
      </c>
      <c r="O8" s="14" t="s">
        <v>693</v>
      </c>
      <c r="P8" s="19">
        <v>40448</v>
      </c>
      <c r="Q8" s="162"/>
      <c r="R8" s="236"/>
      <c r="S8" s="237"/>
    </row>
    <row r="9" spans="1:19" s="42" customFormat="1" ht="87.5" x14ac:dyDescent="0.25">
      <c r="A9" s="51"/>
      <c r="B9" s="36">
        <v>40537.085416666669</v>
      </c>
      <c r="C9" s="18">
        <v>3.5</v>
      </c>
      <c r="D9" s="18">
        <v>5.8</v>
      </c>
      <c r="E9" s="18">
        <f t="shared" si="0"/>
        <v>8.5213831053346674</v>
      </c>
      <c r="F9" s="46"/>
      <c r="G9" s="46" t="s">
        <v>435</v>
      </c>
      <c r="H9" s="46"/>
      <c r="I9" s="46" t="s">
        <v>435</v>
      </c>
      <c r="J9" s="46" t="s">
        <v>435</v>
      </c>
      <c r="K9" s="46">
        <v>44</v>
      </c>
      <c r="L9" s="232">
        <v>0.6</v>
      </c>
      <c r="M9" s="17">
        <v>0</v>
      </c>
      <c r="N9" s="17">
        <v>2</v>
      </c>
      <c r="O9" s="14" t="s">
        <v>692</v>
      </c>
      <c r="P9" s="19">
        <v>40540</v>
      </c>
      <c r="Q9" s="49"/>
    </row>
    <row r="10" spans="1:19" s="42" customFormat="1" ht="62.5" x14ac:dyDescent="0.3">
      <c r="A10" s="157"/>
      <c r="B10" s="106">
        <v>40888.158333333333</v>
      </c>
      <c r="C10" s="46"/>
      <c r="D10" s="46"/>
      <c r="E10" s="46"/>
      <c r="F10" s="46"/>
      <c r="G10" s="46"/>
      <c r="H10" s="46"/>
      <c r="I10" s="46"/>
      <c r="J10" s="46"/>
      <c r="K10" s="46"/>
      <c r="L10" s="224">
        <v>0.8</v>
      </c>
      <c r="M10" s="167">
        <v>0</v>
      </c>
      <c r="N10" s="167">
        <v>1</v>
      </c>
      <c r="O10" s="51" t="s">
        <v>746</v>
      </c>
      <c r="P10" s="178">
        <v>40904</v>
      </c>
      <c r="Q10" s="161"/>
      <c r="R10" s="162"/>
    </row>
    <row r="11" spans="1:19" s="42" customFormat="1" x14ac:dyDescent="0.25">
      <c r="A11" s="165"/>
      <c r="B11" s="106"/>
      <c r="C11" s="46"/>
      <c r="D11" s="46"/>
      <c r="E11" s="46"/>
      <c r="F11" s="46"/>
      <c r="G11" s="46"/>
      <c r="H11" s="46"/>
      <c r="I11" s="46"/>
      <c r="J11" s="46"/>
      <c r="K11" s="46"/>
      <c r="L11" s="233"/>
      <c r="M11" s="167"/>
      <c r="N11" s="167"/>
      <c r="O11" s="158"/>
      <c r="P11" s="49"/>
    </row>
    <row r="12" spans="1:19" s="42" customFormat="1" x14ac:dyDescent="0.25">
      <c r="A12" s="51"/>
      <c r="B12" s="106"/>
      <c r="C12" s="46"/>
      <c r="D12" s="46"/>
      <c r="E12" s="46"/>
      <c r="F12" s="46"/>
      <c r="G12" s="46"/>
      <c r="H12" s="46"/>
      <c r="I12" s="46"/>
      <c r="J12" s="46"/>
      <c r="K12" s="46"/>
      <c r="L12" s="233"/>
      <c r="O12" s="158"/>
      <c r="P12" s="49"/>
    </row>
    <row r="13" spans="1:19" s="42" customFormat="1" x14ac:dyDescent="0.25">
      <c r="A13" s="51"/>
      <c r="B13" s="106"/>
      <c r="C13" s="46"/>
      <c r="D13" s="46"/>
      <c r="E13" s="46"/>
      <c r="F13" s="46"/>
      <c r="G13" s="46"/>
      <c r="H13" s="46"/>
      <c r="I13" s="46"/>
      <c r="J13" s="46"/>
      <c r="K13" s="46"/>
      <c r="L13" s="233"/>
      <c r="O13" s="158"/>
      <c r="P13" s="49"/>
    </row>
    <row r="14" spans="1:19" s="42" customFormat="1" x14ac:dyDescent="0.25">
      <c r="A14" s="51"/>
      <c r="B14" s="106"/>
      <c r="C14" s="46"/>
      <c r="D14" s="46"/>
      <c r="E14" s="46"/>
      <c r="F14" s="46"/>
      <c r="G14" s="46"/>
      <c r="H14" s="46"/>
      <c r="I14" s="46"/>
      <c r="J14" s="46"/>
      <c r="K14" s="46"/>
      <c r="L14" s="142"/>
      <c r="O14" s="168"/>
      <c r="P14" s="49"/>
    </row>
    <row r="15" spans="1:19" s="42" customFormat="1" x14ac:dyDescent="0.25">
      <c r="A15" s="165"/>
      <c r="B15" s="106"/>
      <c r="C15" s="46"/>
      <c r="D15" s="46"/>
      <c r="E15" s="46"/>
      <c r="F15" s="46"/>
      <c r="G15" s="164"/>
      <c r="H15" s="164"/>
      <c r="I15" s="164"/>
      <c r="J15" s="164"/>
      <c r="K15" s="169"/>
      <c r="L15" s="224"/>
      <c r="M15" s="167"/>
      <c r="N15" s="167"/>
      <c r="O15" s="158"/>
      <c r="P15" s="49"/>
    </row>
    <row r="16" spans="1:19" s="42" customFormat="1" x14ac:dyDescent="0.25">
      <c r="A16" s="165"/>
      <c r="B16" s="106"/>
      <c r="C16" s="46"/>
      <c r="D16" s="46"/>
      <c r="E16" s="46"/>
      <c r="F16" s="46"/>
      <c r="G16" s="164"/>
      <c r="H16" s="164"/>
      <c r="I16" s="164"/>
      <c r="J16" s="164"/>
      <c r="K16" s="169"/>
      <c r="L16" s="224"/>
      <c r="M16" s="167"/>
      <c r="N16" s="167"/>
      <c r="O16" s="158"/>
      <c r="P16" s="49"/>
    </row>
    <row r="17" spans="1:18" s="42" customFormat="1" x14ac:dyDescent="0.25">
      <c r="A17" s="165"/>
      <c r="B17" s="106"/>
      <c r="C17" s="46"/>
      <c r="D17" s="46"/>
      <c r="E17" s="46"/>
      <c r="F17" s="46"/>
      <c r="G17" s="164"/>
      <c r="H17" s="164"/>
      <c r="I17" s="164"/>
      <c r="J17" s="164"/>
      <c r="K17" s="170"/>
      <c r="L17" s="224"/>
      <c r="M17" s="167"/>
      <c r="N17" s="167"/>
      <c r="O17" s="158"/>
      <c r="P17" s="49"/>
    </row>
    <row r="18" spans="1:18" s="42" customFormat="1" x14ac:dyDescent="0.25">
      <c r="A18" s="165"/>
      <c r="B18" s="106"/>
      <c r="C18" s="46"/>
      <c r="D18" s="46"/>
      <c r="E18" s="46"/>
      <c r="F18" s="46"/>
      <c r="G18" s="164"/>
      <c r="H18" s="164"/>
      <c r="I18" s="164"/>
      <c r="J18" s="164"/>
      <c r="K18" s="170"/>
      <c r="L18" s="224"/>
      <c r="M18" s="167"/>
      <c r="N18" s="167"/>
      <c r="O18" s="158"/>
      <c r="P18" s="49"/>
    </row>
    <row r="19" spans="1:18" s="42" customFormat="1" x14ac:dyDescent="0.25">
      <c r="A19" s="51"/>
      <c r="B19" s="106"/>
      <c r="C19" s="46"/>
      <c r="D19" s="46"/>
      <c r="E19" s="46"/>
      <c r="F19" s="46"/>
      <c r="G19" s="46"/>
      <c r="H19" s="46"/>
      <c r="I19" s="46"/>
      <c r="J19" s="46"/>
      <c r="K19" s="46"/>
      <c r="L19" s="227"/>
      <c r="O19" s="44"/>
      <c r="P19" s="49"/>
    </row>
    <row r="20" spans="1:18" s="42" customFormat="1" x14ac:dyDescent="0.25">
      <c r="A20" s="105"/>
      <c r="B20" s="106"/>
      <c r="C20" s="107"/>
      <c r="D20" s="107"/>
      <c r="E20" s="46"/>
      <c r="F20" s="107"/>
      <c r="G20" s="107"/>
      <c r="H20" s="107"/>
      <c r="I20" s="107"/>
      <c r="J20" s="107"/>
      <c r="K20" s="107"/>
      <c r="L20" s="230"/>
      <c r="M20" s="109"/>
      <c r="N20" s="109"/>
      <c r="O20" s="44"/>
      <c r="P20" s="110"/>
      <c r="Q20" s="109"/>
      <c r="R20" s="109"/>
    </row>
    <row r="21" spans="1:18" x14ac:dyDescent="0.25">
      <c r="E21" s="46"/>
      <c r="O21" s="44"/>
    </row>
    <row r="22" spans="1:18" x14ac:dyDescent="0.25">
      <c r="E22" s="46"/>
      <c r="O22" s="44"/>
    </row>
    <row r="23" spans="1:18" x14ac:dyDescent="0.25">
      <c r="E23" s="46"/>
      <c r="O23" s="44"/>
    </row>
    <row r="24" spans="1:18" x14ac:dyDescent="0.25">
      <c r="A24" s="44"/>
      <c r="E24" s="46"/>
      <c r="O24" s="158"/>
    </row>
    <row r="25" spans="1:18" x14ac:dyDescent="0.25">
      <c r="E25" s="46"/>
      <c r="L25" s="234"/>
      <c r="O25" s="14"/>
    </row>
    <row r="26" spans="1:18" s="175" customFormat="1" ht="13" x14ac:dyDescent="0.25">
      <c r="A26" s="173"/>
      <c r="B26" s="106"/>
      <c r="C26" s="174"/>
      <c r="D26" s="174"/>
      <c r="E26" s="174"/>
      <c r="F26" s="174"/>
      <c r="G26" s="174"/>
      <c r="H26" s="174"/>
      <c r="I26" s="174"/>
      <c r="J26" s="174"/>
      <c r="K26" s="174"/>
      <c r="L26" s="235"/>
      <c r="O26" s="176"/>
      <c r="P26" s="177"/>
    </row>
    <row r="27" spans="1:18" s="167" customFormat="1" x14ac:dyDescent="0.25">
      <c r="A27" s="165"/>
      <c r="B27" s="106"/>
      <c r="C27" s="170"/>
      <c r="D27" s="170"/>
      <c r="E27" s="170"/>
      <c r="F27" s="170"/>
      <c r="G27" s="170"/>
      <c r="H27" s="170"/>
      <c r="I27" s="170"/>
      <c r="J27" s="170"/>
      <c r="K27" s="170"/>
      <c r="L27" s="224"/>
      <c r="O27" s="158"/>
      <c r="P27" s="178"/>
    </row>
    <row r="28" spans="1:18" s="167" customFormat="1" ht="13" x14ac:dyDescent="0.25">
      <c r="A28" s="173"/>
      <c r="B28" s="106"/>
      <c r="C28" s="174"/>
      <c r="D28" s="174"/>
      <c r="E28" s="174"/>
      <c r="F28" s="174"/>
      <c r="G28" s="174"/>
      <c r="H28" s="174"/>
      <c r="I28" s="174"/>
      <c r="J28" s="174"/>
      <c r="K28" s="174"/>
      <c r="L28" s="235"/>
      <c r="M28" s="175"/>
      <c r="N28" s="175"/>
      <c r="O28" s="176"/>
      <c r="P28" s="177"/>
    </row>
    <row r="29" spans="1:18" s="167" customFormat="1" x14ac:dyDescent="0.25">
      <c r="A29" s="165"/>
      <c r="B29" s="106"/>
      <c r="C29" s="170"/>
      <c r="D29" s="170"/>
      <c r="E29" s="170"/>
      <c r="F29" s="170"/>
      <c r="G29" s="170"/>
      <c r="H29" s="170"/>
      <c r="I29" s="170"/>
      <c r="J29" s="170"/>
      <c r="K29" s="170"/>
      <c r="L29" s="224"/>
      <c r="O29" s="165"/>
      <c r="P29" s="178"/>
    </row>
    <row r="30" spans="1:18" s="167" customFormat="1" x14ac:dyDescent="0.25">
      <c r="A30" s="165"/>
      <c r="B30" s="106"/>
      <c r="C30" s="170"/>
      <c r="D30" s="170"/>
      <c r="E30" s="170"/>
      <c r="F30" s="170"/>
      <c r="G30" s="170"/>
      <c r="H30" s="170"/>
      <c r="I30" s="170"/>
      <c r="J30" s="170"/>
      <c r="K30" s="170"/>
      <c r="L30" s="224"/>
      <c r="O30" s="165"/>
      <c r="P30" s="178"/>
    </row>
    <row r="31" spans="1:18" s="167" customFormat="1" x14ac:dyDescent="0.25">
      <c r="A31" s="165"/>
      <c r="B31" s="106"/>
      <c r="C31" s="170"/>
      <c r="D31" s="170"/>
      <c r="E31" s="170"/>
      <c r="F31" s="170"/>
      <c r="G31" s="170"/>
      <c r="H31" s="170"/>
      <c r="I31" s="170"/>
      <c r="J31" s="170"/>
      <c r="K31" s="170"/>
      <c r="L31" s="224"/>
      <c r="O31" s="165"/>
      <c r="P31" s="178"/>
    </row>
    <row r="32" spans="1:18" s="167" customFormat="1" x14ac:dyDescent="0.25">
      <c r="A32" s="165"/>
      <c r="B32" s="106"/>
      <c r="C32" s="170"/>
      <c r="D32" s="170"/>
      <c r="E32" s="170"/>
      <c r="F32" s="170"/>
      <c r="G32" s="170"/>
      <c r="H32" s="170"/>
      <c r="I32" s="170"/>
      <c r="J32" s="170"/>
      <c r="K32" s="170"/>
      <c r="L32" s="224"/>
      <c r="O32" s="165"/>
      <c r="P32" s="178"/>
    </row>
    <row r="33" spans="1:16" s="167" customFormat="1" x14ac:dyDescent="0.25">
      <c r="A33" s="165"/>
      <c r="B33" s="106"/>
      <c r="C33" s="170"/>
      <c r="D33" s="170"/>
      <c r="E33" s="170"/>
      <c r="F33" s="170"/>
      <c r="G33" s="170"/>
      <c r="H33" s="170"/>
      <c r="I33" s="170"/>
      <c r="J33" s="170"/>
      <c r="K33" s="170"/>
      <c r="L33" s="224"/>
      <c r="O33" s="165"/>
      <c r="P33" s="178"/>
    </row>
    <row r="34" spans="1:16" s="167" customFormat="1" x14ac:dyDescent="0.25">
      <c r="A34" s="165"/>
      <c r="B34" s="106"/>
      <c r="C34" s="170"/>
      <c r="D34" s="170"/>
      <c r="E34" s="170"/>
      <c r="F34" s="170"/>
      <c r="G34" s="170"/>
      <c r="H34" s="170"/>
      <c r="I34" s="170"/>
      <c r="J34" s="170"/>
      <c r="K34" s="170"/>
      <c r="L34" s="224"/>
      <c r="O34" s="165"/>
      <c r="P34" s="178"/>
    </row>
    <row r="35" spans="1:16" s="167" customFormat="1" x14ac:dyDescent="0.25">
      <c r="A35" s="165"/>
      <c r="B35" s="106"/>
      <c r="C35" s="170"/>
      <c r="D35" s="170"/>
      <c r="E35" s="170"/>
      <c r="F35" s="170"/>
      <c r="G35" s="170"/>
      <c r="H35" s="170"/>
      <c r="I35" s="170"/>
      <c r="J35" s="170"/>
      <c r="K35" s="170"/>
      <c r="L35" s="224"/>
      <c r="O35" s="165"/>
      <c r="P35" s="178"/>
    </row>
    <row r="36" spans="1:16" s="167" customFormat="1" x14ac:dyDescent="0.25">
      <c r="A36" s="165"/>
      <c r="B36" s="106"/>
      <c r="C36" s="170"/>
      <c r="D36" s="170"/>
      <c r="E36" s="170"/>
      <c r="F36" s="170"/>
      <c r="G36" s="170"/>
      <c r="H36" s="170"/>
      <c r="I36" s="170"/>
      <c r="J36" s="170"/>
      <c r="K36" s="170"/>
      <c r="L36" s="224"/>
      <c r="O36" s="165"/>
      <c r="P36" s="178"/>
    </row>
    <row r="37" spans="1:16" s="167" customFormat="1" x14ac:dyDescent="0.25">
      <c r="A37" s="165"/>
      <c r="B37" s="106"/>
      <c r="C37" s="170"/>
      <c r="D37" s="170"/>
      <c r="E37" s="170"/>
      <c r="F37" s="170"/>
      <c r="G37" s="170"/>
      <c r="H37" s="170"/>
      <c r="I37" s="170"/>
      <c r="J37" s="170"/>
      <c r="K37" s="170"/>
      <c r="L37" s="224"/>
      <c r="O37" s="165"/>
      <c r="P37" s="178"/>
    </row>
    <row r="38" spans="1:16" s="167" customFormat="1" x14ac:dyDescent="0.25">
      <c r="A38" s="165"/>
      <c r="B38" s="106"/>
      <c r="C38" s="170"/>
      <c r="D38" s="170"/>
      <c r="E38" s="170"/>
      <c r="F38" s="170"/>
      <c r="G38" s="170"/>
      <c r="H38" s="170"/>
      <c r="I38" s="170"/>
      <c r="J38" s="170"/>
      <c r="K38" s="170"/>
      <c r="L38" s="224"/>
      <c r="O38" s="165"/>
      <c r="P38" s="178"/>
    </row>
    <row r="39" spans="1:16" s="167" customFormat="1" x14ac:dyDescent="0.25">
      <c r="A39" s="165"/>
      <c r="B39" s="106"/>
      <c r="C39" s="170"/>
      <c r="D39" s="170"/>
      <c r="E39" s="170"/>
      <c r="F39" s="170"/>
      <c r="G39" s="170"/>
      <c r="H39" s="170"/>
      <c r="I39" s="170"/>
      <c r="J39" s="170"/>
      <c r="K39" s="170"/>
      <c r="L39" s="224"/>
      <c r="O39" s="165"/>
      <c r="P39" s="178"/>
    </row>
    <row r="40" spans="1:16" s="167" customFormat="1" x14ac:dyDescent="0.25">
      <c r="A40" s="165"/>
      <c r="B40" s="106"/>
      <c r="C40" s="170"/>
      <c r="D40" s="170"/>
      <c r="E40" s="170"/>
      <c r="F40" s="170"/>
      <c r="G40" s="170"/>
      <c r="H40" s="170"/>
      <c r="I40" s="170"/>
      <c r="J40" s="170"/>
      <c r="K40" s="170"/>
      <c r="L40" s="224"/>
      <c r="O40" s="165"/>
      <c r="P40" s="178"/>
    </row>
    <row r="41" spans="1:16" s="167" customFormat="1" x14ac:dyDescent="0.25">
      <c r="A41" s="165"/>
      <c r="B41" s="106"/>
      <c r="C41" s="170"/>
      <c r="D41" s="170"/>
      <c r="E41" s="170"/>
      <c r="F41" s="170"/>
      <c r="G41" s="170"/>
      <c r="H41" s="170"/>
      <c r="I41" s="170"/>
      <c r="J41" s="170"/>
      <c r="K41" s="170"/>
      <c r="L41" s="224"/>
      <c r="O41" s="165"/>
      <c r="P41" s="178"/>
    </row>
    <row r="42" spans="1:16" s="167" customFormat="1" x14ac:dyDescent="0.25">
      <c r="A42" s="165"/>
      <c r="B42" s="106"/>
      <c r="C42" s="170"/>
      <c r="D42" s="170"/>
      <c r="E42" s="170"/>
      <c r="F42" s="170"/>
      <c r="G42" s="170"/>
      <c r="H42" s="170"/>
      <c r="I42" s="170"/>
      <c r="J42" s="170"/>
      <c r="K42" s="170"/>
      <c r="L42" s="224"/>
      <c r="O42" s="165"/>
      <c r="P42" s="178"/>
    </row>
    <row r="43" spans="1:16" s="167" customFormat="1" x14ac:dyDescent="0.25">
      <c r="A43" s="165"/>
      <c r="B43" s="106"/>
      <c r="C43" s="170"/>
      <c r="D43" s="170"/>
      <c r="E43" s="170"/>
      <c r="F43" s="170"/>
      <c r="G43" s="170"/>
      <c r="H43" s="170"/>
      <c r="I43" s="170"/>
      <c r="J43" s="170"/>
      <c r="K43" s="170"/>
      <c r="L43" s="224"/>
      <c r="O43" s="165"/>
      <c r="P43" s="178"/>
    </row>
    <row r="44" spans="1:16" s="167" customFormat="1" x14ac:dyDescent="0.25">
      <c r="A44" s="165"/>
      <c r="B44" s="106"/>
      <c r="C44" s="170"/>
      <c r="D44" s="170"/>
      <c r="E44" s="170"/>
      <c r="F44" s="170"/>
      <c r="G44" s="170"/>
      <c r="H44" s="170"/>
      <c r="I44" s="170"/>
      <c r="J44" s="170"/>
      <c r="K44" s="170"/>
      <c r="L44" s="224"/>
      <c r="O44" s="165"/>
      <c r="P44" s="178"/>
    </row>
    <row r="45" spans="1:16" s="167" customFormat="1" x14ac:dyDescent="0.25">
      <c r="A45" s="165"/>
      <c r="B45" s="106"/>
      <c r="C45" s="170"/>
      <c r="D45" s="170"/>
      <c r="E45" s="170"/>
      <c r="F45" s="170"/>
      <c r="G45" s="170"/>
      <c r="H45" s="170"/>
      <c r="I45" s="170"/>
      <c r="J45" s="170"/>
      <c r="K45" s="170"/>
      <c r="L45" s="224"/>
      <c r="O45" s="165"/>
      <c r="P45" s="178"/>
    </row>
    <row r="46" spans="1:16" s="167" customFormat="1" x14ac:dyDescent="0.25">
      <c r="A46" s="165"/>
      <c r="B46" s="106"/>
      <c r="C46" s="170"/>
      <c r="D46" s="170"/>
      <c r="E46" s="170"/>
      <c r="F46" s="170"/>
      <c r="G46" s="170"/>
      <c r="H46" s="170"/>
      <c r="I46" s="170"/>
      <c r="J46" s="170"/>
      <c r="K46" s="170"/>
      <c r="L46" s="224"/>
      <c r="O46" s="165"/>
      <c r="P46" s="178"/>
    </row>
    <row r="47" spans="1:16" s="167" customFormat="1" x14ac:dyDescent="0.25">
      <c r="A47" s="165"/>
      <c r="B47" s="106"/>
      <c r="C47" s="170"/>
      <c r="D47" s="170"/>
      <c r="E47" s="170"/>
      <c r="F47" s="170"/>
      <c r="G47" s="170"/>
      <c r="H47" s="170"/>
      <c r="I47" s="170"/>
      <c r="J47" s="170"/>
      <c r="K47" s="170"/>
      <c r="L47" s="224"/>
      <c r="O47" s="165"/>
      <c r="P47" s="178"/>
    </row>
    <row r="48" spans="1:16" s="167" customFormat="1" x14ac:dyDescent="0.25">
      <c r="A48" s="165"/>
      <c r="B48" s="106"/>
      <c r="C48" s="170"/>
      <c r="D48" s="170"/>
      <c r="E48" s="170"/>
      <c r="F48" s="170"/>
      <c r="G48" s="170"/>
      <c r="H48" s="170"/>
      <c r="I48" s="170"/>
      <c r="J48" s="170"/>
      <c r="K48" s="170"/>
      <c r="L48" s="224"/>
      <c r="O48" s="165"/>
      <c r="P48" s="178"/>
    </row>
    <row r="49" spans="1:16" s="167" customFormat="1" x14ac:dyDescent="0.25">
      <c r="A49" s="165"/>
      <c r="B49" s="106"/>
      <c r="C49" s="170"/>
      <c r="D49" s="170"/>
      <c r="E49" s="170"/>
      <c r="F49" s="170"/>
      <c r="G49" s="170"/>
      <c r="H49" s="170"/>
      <c r="I49" s="170"/>
      <c r="J49" s="170"/>
      <c r="K49" s="170"/>
      <c r="L49" s="224"/>
      <c r="O49" s="165"/>
      <c r="P49" s="178"/>
    </row>
    <row r="50" spans="1:16" s="167" customFormat="1" x14ac:dyDescent="0.25">
      <c r="A50" s="165"/>
      <c r="B50" s="106"/>
      <c r="C50" s="170"/>
      <c r="D50" s="170"/>
      <c r="E50" s="170"/>
      <c r="F50" s="170"/>
      <c r="G50" s="170"/>
      <c r="H50" s="170"/>
      <c r="I50" s="170"/>
      <c r="J50" s="170"/>
      <c r="K50" s="170"/>
      <c r="L50" s="224"/>
      <c r="O50" s="165"/>
      <c r="P50" s="178"/>
    </row>
    <row r="51" spans="1:16" s="167" customFormat="1" x14ac:dyDescent="0.25">
      <c r="A51" s="165"/>
      <c r="B51" s="106"/>
      <c r="C51" s="170"/>
      <c r="D51" s="170"/>
      <c r="E51" s="170"/>
      <c r="F51" s="170"/>
      <c r="G51" s="170"/>
      <c r="H51" s="170"/>
      <c r="I51" s="170"/>
      <c r="J51" s="170"/>
      <c r="K51" s="170"/>
      <c r="L51" s="224"/>
      <c r="O51" s="165"/>
      <c r="P51" s="178"/>
    </row>
    <row r="52" spans="1:16" s="167" customFormat="1" x14ac:dyDescent="0.25">
      <c r="A52" s="165"/>
      <c r="B52" s="106"/>
      <c r="C52" s="170"/>
      <c r="D52" s="170"/>
      <c r="E52" s="170"/>
      <c r="F52" s="170"/>
      <c r="G52" s="170"/>
      <c r="H52" s="170"/>
      <c r="I52" s="170"/>
      <c r="J52" s="170"/>
      <c r="K52" s="170"/>
      <c r="L52" s="224"/>
      <c r="O52" s="165"/>
      <c r="P52" s="178"/>
    </row>
    <row r="53" spans="1:16" s="167" customFormat="1" x14ac:dyDescent="0.25">
      <c r="A53" s="165"/>
      <c r="B53" s="106"/>
      <c r="C53" s="170"/>
      <c r="D53" s="170"/>
      <c r="E53" s="170"/>
      <c r="F53" s="170"/>
      <c r="G53" s="170"/>
      <c r="H53" s="170"/>
      <c r="I53" s="170"/>
      <c r="J53" s="170"/>
      <c r="K53" s="170"/>
      <c r="L53" s="224"/>
      <c r="O53" s="165"/>
      <c r="P53" s="178"/>
    </row>
    <row r="54" spans="1:16" s="167" customFormat="1" x14ac:dyDescent="0.25">
      <c r="A54" s="165"/>
      <c r="B54" s="106"/>
      <c r="C54" s="170"/>
      <c r="D54" s="170"/>
      <c r="E54" s="170"/>
      <c r="F54" s="170"/>
      <c r="G54" s="170"/>
      <c r="H54" s="170"/>
      <c r="I54" s="170"/>
      <c r="J54" s="170"/>
      <c r="K54" s="170"/>
      <c r="L54" s="224"/>
      <c r="O54" s="165"/>
      <c r="P54" s="178"/>
    </row>
    <row r="55" spans="1:16" s="167" customFormat="1" x14ac:dyDescent="0.25">
      <c r="A55" s="165"/>
      <c r="B55" s="106"/>
      <c r="C55" s="170"/>
      <c r="D55" s="170"/>
      <c r="E55" s="170"/>
      <c r="F55" s="170"/>
      <c r="G55" s="170"/>
      <c r="H55" s="170"/>
      <c r="I55" s="170"/>
      <c r="J55" s="170"/>
      <c r="K55" s="170"/>
      <c r="L55" s="224"/>
      <c r="O55" s="165"/>
      <c r="P55" s="178"/>
    </row>
    <row r="56" spans="1:16" s="167" customFormat="1" x14ac:dyDescent="0.25">
      <c r="A56" s="165"/>
      <c r="B56" s="106"/>
      <c r="C56" s="170"/>
      <c r="D56" s="170"/>
      <c r="E56" s="170"/>
      <c r="F56" s="170"/>
      <c r="G56" s="170"/>
      <c r="H56" s="170"/>
      <c r="I56" s="170"/>
      <c r="J56" s="170"/>
      <c r="K56" s="170"/>
      <c r="L56" s="224"/>
      <c r="O56" s="165"/>
      <c r="P56" s="178"/>
    </row>
    <row r="57" spans="1:16" s="167" customFormat="1" x14ac:dyDescent="0.25">
      <c r="A57" s="165"/>
      <c r="B57" s="106"/>
      <c r="C57" s="170"/>
      <c r="D57" s="170"/>
      <c r="E57" s="170"/>
      <c r="F57" s="170"/>
      <c r="G57" s="170"/>
      <c r="H57" s="170"/>
      <c r="I57" s="170"/>
      <c r="J57" s="170"/>
      <c r="K57" s="170"/>
      <c r="L57" s="224"/>
      <c r="O57" s="165"/>
      <c r="P57" s="178"/>
    </row>
    <row r="58" spans="1:16" s="167" customFormat="1" x14ac:dyDescent="0.25">
      <c r="A58" s="165"/>
      <c r="B58" s="106"/>
      <c r="C58" s="170"/>
      <c r="D58" s="170"/>
      <c r="E58" s="170"/>
      <c r="F58" s="170"/>
      <c r="G58" s="170"/>
      <c r="H58" s="170"/>
      <c r="I58" s="170"/>
      <c r="J58" s="170"/>
      <c r="K58" s="170"/>
      <c r="L58" s="224"/>
      <c r="O58" s="165"/>
      <c r="P58" s="178"/>
    </row>
    <row r="59" spans="1:16" s="167" customFormat="1" x14ac:dyDescent="0.25">
      <c r="A59" s="165"/>
      <c r="B59" s="106"/>
      <c r="C59" s="170"/>
      <c r="D59" s="170"/>
      <c r="E59" s="170"/>
      <c r="F59" s="170"/>
      <c r="G59" s="170"/>
      <c r="H59" s="170"/>
      <c r="I59" s="170"/>
      <c r="J59" s="170"/>
      <c r="K59" s="170"/>
      <c r="L59" s="224"/>
      <c r="O59" s="165"/>
      <c r="P59" s="178"/>
    </row>
    <row r="60" spans="1:16" s="167" customFormat="1" x14ac:dyDescent="0.25">
      <c r="A60" s="165"/>
      <c r="B60" s="106"/>
      <c r="C60" s="170"/>
      <c r="D60" s="170"/>
      <c r="E60" s="170"/>
      <c r="F60" s="170"/>
      <c r="G60" s="170"/>
      <c r="H60" s="170"/>
      <c r="I60" s="170"/>
      <c r="J60" s="170"/>
      <c r="K60" s="170"/>
      <c r="L60" s="224"/>
      <c r="O60" s="165"/>
      <c r="P60" s="178"/>
    </row>
    <row r="61" spans="1:16" s="167" customFormat="1" x14ac:dyDescent="0.25">
      <c r="A61" s="165"/>
      <c r="B61" s="106"/>
      <c r="C61" s="170"/>
      <c r="D61" s="170"/>
      <c r="E61" s="170"/>
      <c r="F61" s="170"/>
      <c r="G61" s="170"/>
      <c r="H61" s="170"/>
      <c r="I61" s="170"/>
      <c r="J61" s="170"/>
      <c r="K61" s="170"/>
      <c r="L61" s="224"/>
      <c r="O61" s="165"/>
      <c r="P61" s="178"/>
    </row>
    <row r="62" spans="1:16" s="167" customFormat="1" x14ac:dyDescent="0.25">
      <c r="A62" s="165"/>
      <c r="B62" s="106"/>
      <c r="C62" s="170"/>
      <c r="D62" s="170"/>
      <c r="E62" s="170"/>
      <c r="F62" s="170"/>
      <c r="G62" s="170"/>
      <c r="H62" s="170"/>
      <c r="I62" s="170"/>
      <c r="J62" s="170"/>
      <c r="K62" s="170"/>
      <c r="L62" s="224"/>
      <c r="O62" s="165"/>
      <c r="P62" s="178"/>
    </row>
    <row r="63" spans="1:16" s="167" customFormat="1" x14ac:dyDescent="0.25">
      <c r="A63" s="165"/>
      <c r="B63" s="106"/>
      <c r="C63" s="170"/>
      <c r="D63" s="170"/>
      <c r="E63" s="170"/>
      <c r="F63" s="170"/>
      <c r="G63" s="170"/>
      <c r="H63" s="170"/>
      <c r="I63" s="170"/>
      <c r="J63" s="170"/>
      <c r="K63" s="170"/>
      <c r="L63" s="224"/>
      <c r="O63" s="165"/>
      <c r="P63" s="178"/>
    </row>
    <row r="64" spans="1:16" s="167" customFormat="1" x14ac:dyDescent="0.25">
      <c r="A64" s="165"/>
      <c r="B64" s="106"/>
      <c r="C64" s="170"/>
      <c r="D64" s="170"/>
      <c r="E64" s="170"/>
      <c r="F64" s="170"/>
      <c r="G64" s="170"/>
      <c r="H64" s="170"/>
      <c r="I64" s="170"/>
      <c r="J64" s="170"/>
      <c r="K64" s="170"/>
      <c r="L64" s="224"/>
      <c r="O64" s="165"/>
      <c r="P64" s="178"/>
    </row>
    <row r="65" spans="1:16" s="167" customFormat="1" x14ac:dyDescent="0.25">
      <c r="A65" s="165"/>
      <c r="B65" s="106"/>
      <c r="C65" s="170"/>
      <c r="D65" s="170"/>
      <c r="E65" s="170"/>
      <c r="F65" s="170"/>
      <c r="G65" s="170"/>
      <c r="H65" s="170"/>
      <c r="I65" s="170"/>
      <c r="J65" s="170"/>
      <c r="K65" s="170"/>
      <c r="L65" s="224"/>
      <c r="O65" s="165"/>
      <c r="P65" s="178"/>
    </row>
    <row r="66" spans="1:16" s="167" customFormat="1" x14ac:dyDescent="0.25">
      <c r="A66" s="165"/>
      <c r="B66" s="106"/>
      <c r="C66" s="170"/>
      <c r="D66" s="170"/>
      <c r="E66" s="170"/>
      <c r="F66" s="170"/>
      <c r="G66" s="170"/>
      <c r="H66" s="170"/>
      <c r="I66" s="170"/>
      <c r="J66" s="170"/>
      <c r="K66" s="170"/>
      <c r="L66" s="224"/>
      <c r="O66" s="165"/>
      <c r="P66" s="178"/>
    </row>
    <row r="67" spans="1:16" s="167" customFormat="1" x14ac:dyDescent="0.25">
      <c r="A67" s="165"/>
      <c r="B67" s="106"/>
      <c r="C67" s="170"/>
      <c r="D67" s="170"/>
      <c r="E67" s="170"/>
      <c r="F67" s="170"/>
      <c r="G67" s="170"/>
      <c r="H67" s="170"/>
      <c r="I67" s="170"/>
      <c r="J67" s="170"/>
      <c r="K67" s="170"/>
      <c r="L67" s="224"/>
      <c r="O67" s="165"/>
      <c r="P67" s="178"/>
    </row>
    <row r="68" spans="1:16" s="167" customFormat="1" x14ac:dyDescent="0.25">
      <c r="A68" s="165"/>
      <c r="B68" s="106"/>
      <c r="C68" s="170"/>
      <c r="D68" s="170"/>
      <c r="E68" s="170"/>
      <c r="F68" s="170"/>
      <c r="G68" s="170"/>
      <c r="H68" s="170"/>
      <c r="I68" s="170"/>
      <c r="J68" s="170"/>
      <c r="K68" s="170"/>
      <c r="L68" s="224"/>
      <c r="O68" s="165"/>
      <c r="P68" s="178"/>
    </row>
    <row r="69" spans="1:16" s="167" customFormat="1" x14ac:dyDescent="0.25">
      <c r="A69" s="165"/>
      <c r="B69" s="106"/>
      <c r="C69" s="170"/>
      <c r="D69" s="170"/>
      <c r="E69" s="170"/>
      <c r="F69" s="170"/>
      <c r="G69" s="170"/>
      <c r="H69" s="170"/>
      <c r="I69" s="170"/>
      <c r="J69" s="170"/>
      <c r="K69" s="170"/>
      <c r="L69" s="224"/>
      <c r="O69" s="165"/>
      <c r="P69" s="178"/>
    </row>
    <row r="70" spans="1:16" s="167" customFormat="1" x14ac:dyDescent="0.25">
      <c r="A70" s="165"/>
      <c r="B70" s="106"/>
      <c r="C70" s="170"/>
      <c r="D70" s="170"/>
      <c r="E70" s="170"/>
      <c r="F70" s="170"/>
      <c r="G70" s="170"/>
      <c r="H70" s="170"/>
      <c r="I70" s="170"/>
      <c r="J70" s="170"/>
      <c r="K70" s="170"/>
      <c r="L70" s="224"/>
      <c r="O70" s="165"/>
      <c r="P70" s="178"/>
    </row>
    <row r="71" spans="1:16" s="167" customFormat="1" x14ac:dyDescent="0.25">
      <c r="A71" s="165"/>
      <c r="B71" s="106"/>
      <c r="C71" s="170"/>
      <c r="D71" s="170"/>
      <c r="E71" s="170"/>
      <c r="F71" s="170"/>
      <c r="G71" s="170"/>
      <c r="H71" s="170"/>
      <c r="I71" s="170"/>
      <c r="J71" s="170"/>
      <c r="K71" s="170"/>
      <c r="L71" s="224"/>
      <c r="O71" s="165"/>
      <c r="P71" s="178"/>
    </row>
    <row r="72" spans="1:16" s="167" customFormat="1" x14ac:dyDescent="0.25">
      <c r="A72" s="165"/>
      <c r="B72" s="106"/>
      <c r="C72" s="170"/>
      <c r="D72" s="170"/>
      <c r="E72" s="170"/>
      <c r="F72" s="170"/>
      <c r="G72" s="170"/>
      <c r="H72" s="170"/>
      <c r="I72" s="170"/>
      <c r="J72" s="170"/>
      <c r="K72" s="170"/>
      <c r="L72" s="224"/>
      <c r="O72" s="165"/>
      <c r="P72" s="178"/>
    </row>
    <row r="73" spans="1:16" s="167" customFormat="1" x14ac:dyDescent="0.25">
      <c r="A73" s="165"/>
      <c r="B73" s="106"/>
      <c r="C73" s="170"/>
      <c r="D73" s="170"/>
      <c r="E73" s="170"/>
      <c r="F73" s="170"/>
      <c r="G73" s="170"/>
      <c r="H73" s="170"/>
      <c r="I73" s="170"/>
      <c r="J73" s="170"/>
      <c r="K73" s="170"/>
      <c r="L73" s="224"/>
      <c r="O73" s="165"/>
      <c r="P73" s="178"/>
    </row>
    <row r="74" spans="1:16" s="167" customFormat="1" x14ac:dyDescent="0.25">
      <c r="A74" s="165"/>
      <c r="B74" s="106"/>
      <c r="C74" s="170"/>
      <c r="D74" s="170"/>
      <c r="E74" s="170"/>
      <c r="F74" s="170"/>
      <c r="G74" s="170"/>
      <c r="H74" s="170"/>
      <c r="I74" s="170"/>
      <c r="J74" s="170"/>
      <c r="K74" s="170"/>
      <c r="L74" s="224"/>
      <c r="O74" s="165"/>
      <c r="P74" s="178"/>
    </row>
  </sheetData>
  <autoFilter ref="A1:R24" xr:uid="{00000000-0009-0000-0000-000008000000}">
    <sortState xmlns:xlrd2="http://schemas.microsoft.com/office/spreadsheetml/2017/richdata2" ref="A2:R22">
      <sortCondition ref="B1:B22"/>
    </sortState>
  </autoFilter>
  <printOptions gridLines="1"/>
  <pageMargins left="0.75" right="0.75" top="1" bottom="1" header="0.5" footer="0.5"/>
  <pageSetup scale="66" orientation="landscape" r:id="rId1"/>
  <headerFooter alignWithMargins="0">
    <oddHeader>&amp;L&amp;D&amp;C&amp;F - &amp;A&amp;R&amp;T</oddHeader>
    <oddFooter>Page &amp;P of &amp;N</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S42"/>
  <sheetViews>
    <sheetView zoomScale="90" zoomScaleNormal="90" workbookViewId="0">
      <pane xSplit="2" ySplit="1" topLeftCell="C10" activePane="bottomRight" state="frozenSplit"/>
      <selection activeCell="D1" sqref="D1"/>
      <selection pane="topRight" activeCell="G1" sqref="G1:G1048576"/>
      <selection pane="bottomLeft" activeCell="A105" sqref="A105"/>
      <selection pane="bottomRight" activeCell="I14" sqref="I14"/>
    </sheetView>
  </sheetViews>
  <sheetFormatPr defaultColWidth="9.1796875" defaultRowHeight="12.5" x14ac:dyDescent="0.25"/>
  <cols>
    <col min="1" max="1" width="8.54296875" style="2" customWidth="1"/>
    <col min="2" max="2" width="17.7265625" style="36" customWidth="1"/>
    <col min="3" max="4" width="6.54296875" style="3" customWidth="1"/>
    <col min="5" max="5" width="5" style="3" customWidth="1"/>
    <col min="6" max="6" width="8.26953125" style="2" customWidth="1"/>
    <col min="7" max="7" width="8.54296875" style="2" customWidth="1"/>
    <col min="8" max="8" width="6.54296875" style="261" customWidth="1"/>
    <col min="9" max="10" width="6.54296875" style="3" customWidth="1"/>
    <col min="11" max="11" width="5" style="3" customWidth="1"/>
    <col min="12" max="12" width="5.453125" style="3" customWidth="1"/>
    <col min="13" max="13" width="4.26953125" style="139" customWidth="1"/>
    <col min="14" max="14" width="2.7265625" style="1" customWidth="1"/>
    <col min="15" max="15" width="2.81640625" style="1" customWidth="1"/>
    <col min="16" max="16" width="40.7265625" style="2" customWidth="1"/>
    <col min="17" max="17" width="12.54296875" style="4" bestFit="1" customWidth="1"/>
    <col min="18" max="16384" width="9.1796875" style="1"/>
  </cols>
  <sheetData>
    <row r="1" spans="1:19" s="12" customFormat="1" ht="54.75" customHeight="1" x14ac:dyDescent="0.35">
      <c r="A1" s="34" t="s">
        <v>233</v>
      </c>
      <c r="B1" s="35" t="s">
        <v>490</v>
      </c>
      <c r="C1" s="8" t="s">
        <v>154</v>
      </c>
      <c r="D1" s="8" t="s">
        <v>816</v>
      </c>
      <c r="E1" s="8" t="s">
        <v>135</v>
      </c>
      <c r="F1" s="260" t="s">
        <v>493</v>
      </c>
      <c r="G1" s="260" t="s">
        <v>494</v>
      </c>
      <c r="H1" s="260" t="s">
        <v>814</v>
      </c>
      <c r="I1" s="8" t="s">
        <v>816</v>
      </c>
      <c r="J1" s="8" t="s">
        <v>817</v>
      </c>
      <c r="K1" s="8" t="s">
        <v>818</v>
      </c>
      <c r="L1" s="8" t="s">
        <v>131</v>
      </c>
      <c r="M1" s="138" t="s">
        <v>132</v>
      </c>
      <c r="N1" s="9" t="s">
        <v>12</v>
      </c>
      <c r="O1" s="9" t="s">
        <v>156</v>
      </c>
      <c r="P1" s="10" t="s">
        <v>155</v>
      </c>
      <c r="Q1" s="11" t="s">
        <v>157</v>
      </c>
      <c r="R1" s="7">
        <f>SUM(N2:N10)</f>
        <v>1</v>
      </c>
      <c r="S1" s="7">
        <f>SUM(O2:O10)</f>
        <v>10</v>
      </c>
    </row>
    <row r="2" spans="1:19" ht="75" x14ac:dyDescent="0.25">
      <c r="B2" s="36">
        <v>34574.15625</v>
      </c>
      <c r="N2" s="1">
        <v>0</v>
      </c>
      <c r="O2" s="1">
        <v>1</v>
      </c>
      <c r="P2" s="29" t="s">
        <v>696</v>
      </c>
      <c r="Q2" s="4">
        <v>40560</v>
      </c>
    </row>
    <row r="3" spans="1:19" ht="37.5" x14ac:dyDescent="0.25">
      <c r="B3" s="36">
        <v>34602.145833333336</v>
      </c>
      <c r="N3" s="1">
        <v>0</v>
      </c>
      <c r="O3" s="1">
        <v>1</v>
      </c>
      <c r="P3" s="29" t="s">
        <v>697</v>
      </c>
      <c r="Q3" s="4">
        <v>40560</v>
      </c>
    </row>
    <row r="4" spans="1:19" ht="50" x14ac:dyDescent="0.25">
      <c r="B4" s="36">
        <v>34639.045138888891</v>
      </c>
      <c r="N4" s="1">
        <v>0</v>
      </c>
      <c r="O4" s="1">
        <v>3</v>
      </c>
      <c r="P4" s="29" t="s">
        <v>699</v>
      </c>
      <c r="Q4" s="4">
        <v>40560</v>
      </c>
    </row>
    <row r="5" spans="1:19" ht="50" x14ac:dyDescent="0.25">
      <c r="B5" s="36">
        <v>34640.040972222225</v>
      </c>
      <c r="N5" s="1">
        <v>0</v>
      </c>
      <c r="O5" s="1">
        <v>3</v>
      </c>
      <c r="P5" s="29" t="s">
        <v>698</v>
      </c>
      <c r="Q5" s="4">
        <v>40560</v>
      </c>
    </row>
    <row r="6" spans="1:19" s="17" customFormat="1" ht="25" x14ac:dyDescent="0.3">
      <c r="A6" s="63"/>
      <c r="B6" s="36">
        <v>38224</v>
      </c>
      <c r="C6" s="18">
        <v>2.5</v>
      </c>
      <c r="D6" s="18">
        <v>7.8</v>
      </c>
      <c r="E6" s="120">
        <f t="shared" ref="E6:E14" si="0">-LOG((1/(PI()*(C6/2)^2))*(2.511^(-D6)))/LOG(2.511)</f>
        <v>9.5280869811885687</v>
      </c>
      <c r="F6" s="23"/>
      <c r="H6" s="262"/>
      <c r="I6" s="18"/>
      <c r="J6" s="18"/>
      <c r="K6" s="18"/>
      <c r="L6" s="18">
        <v>21</v>
      </c>
      <c r="M6" s="210"/>
      <c r="N6" s="17">
        <v>0</v>
      </c>
      <c r="O6" s="17">
        <v>1</v>
      </c>
      <c r="P6" s="14" t="s">
        <v>411</v>
      </c>
      <c r="Q6" s="25">
        <v>38644</v>
      </c>
      <c r="R6" s="30"/>
      <c r="S6" s="31"/>
    </row>
    <row r="7" spans="1:19" s="17" customFormat="1" ht="25" x14ac:dyDescent="0.3">
      <c r="A7" s="63"/>
      <c r="B7" s="36">
        <v>38253</v>
      </c>
      <c r="C7" s="18">
        <v>2.5</v>
      </c>
      <c r="D7" s="18">
        <v>7.9</v>
      </c>
      <c r="E7" s="120">
        <f t="shared" si="0"/>
        <v>9.6280869811885683</v>
      </c>
      <c r="F7" s="23"/>
      <c r="G7" s="12"/>
      <c r="H7" s="263"/>
      <c r="I7" s="18"/>
      <c r="J7" s="18"/>
      <c r="K7" s="18"/>
      <c r="L7" s="18">
        <v>32</v>
      </c>
      <c r="M7" s="210"/>
      <c r="N7" s="17">
        <v>0</v>
      </c>
      <c r="O7" s="17">
        <v>1</v>
      </c>
      <c r="P7" s="14" t="s">
        <v>411</v>
      </c>
      <c r="Q7" s="25">
        <v>38644</v>
      </c>
      <c r="R7" s="12"/>
      <c r="S7" s="12"/>
    </row>
    <row r="8" spans="1:19" s="17" customFormat="1" ht="25" x14ac:dyDescent="0.25">
      <c r="A8" s="23"/>
      <c r="B8" s="36">
        <v>38963</v>
      </c>
      <c r="C8" s="18"/>
      <c r="D8" s="18"/>
      <c r="E8" s="120"/>
      <c r="F8" s="23"/>
      <c r="G8" s="23"/>
      <c r="H8" s="262"/>
      <c r="I8" s="18"/>
      <c r="J8" s="18"/>
      <c r="K8" s="18"/>
      <c r="L8" s="18"/>
      <c r="M8" s="207"/>
      <c r="N8" s="17">
        <v>0</v>
      </c>
      <c r="O8" s="17">
        <v>0</v>
      </c>
      <c r="P8" s="14" t="s">
        <v>700</v>
      </c>
      <c r="Q8" s="19">
        <v>40560</v>
      </c>
    </row>
    <row r="9" spans="1:19" s="17" customFormat="1" ht="75" x14ac:dyDescent="0.25">
      <c r="A9" s="23"/>
      <c r="B9" s="36">
        <v>39771</v>
      </c>
      <c r="C9" s="18">
        <v>2.4</v>
      </c>
      <c r="D9" s="18">
        <v>7.9</v>
      </c>
      <c r="E9" s="120">
        <f t="shared" si="0"/>
        <v>9.5394091634311398</v>
      </c>
      <c r="F9" s="23"/>
      <c r="G9" s="23"/>
      <c r="H9" s="262"/>
      <c r="I9" s="18"/>
      <c r="J9" s="18"/>
      <c r="K9" s="18"/>
      <c r="L9" s="18">
        <v>32</v>
      </c>
      <c r="M9" s="207"/>
      <c r="N9" s="17">
        <v>0</v>
      </c>
      <c r="O9" s="17">
        <v>0</v>
      </c>
      <c r="P9" s="14" t="s">
        <v>184</v>
      </c>
      <c r="Q9" s="19">
        <v>39772</v>
      </c>
    </row>
    <row r="10" spans="1:19" s="17" customFormat="1" ht="125" x14ac:dyDescent="0.25">
      <c r="A10" s="23"/>
      <c r="B10" s="36">
        <v>39771</v>
      </c>
      <c r="C10" s="18">
        <v>2.4</v>
      </c>
      <c r="D10" s="18">
        <v>7.9</v>
      </c>
      <c r="E10" s="120">
        <f t="shared" si="0"/>
        <v>9.5394091634311398</v>
      </c>
      <c r="F10" s="23"/>
      <c r="G10" s="23"/>
      <c r="H10" s="262"/>
      <c r="I10" s="18"/>
      <c r="J10" s="18"/>
      <c r="K10" s="18"/>
      <c r="L10" s="18">
        <v>32</v>
      </c>
      <c r="M10" s="207"/>
      <c r="N10" s="17">
        <v>1</v>
      </c>
      <c r="O10" s="17">
        <v>0</v>
      </c>
      <c r="P10" s="14" t="s">
        <v>185</v>
      </c>
      <c r="Q10" s="19">
        <v>39772</v>
      </c>
    </row>
    <row r="11" spans="1:19" s="17" customFormat="1" ht="62.5" x14ac:dyDescent="0.25">
      <c r="A11" s="23"/>
      <c r="B11" s="106">
        <v>40888.158333333333</v>
      </c>
      <c r="C11" s="18">
        <v>2.2999999999999998</v>
      </c>
      <c r="D11" s="18">
        <v>7.9</v>
      </c>
      <c r="E11" s="120">
        <f t="shared" si="0"/>
        <v>9.4469567054949231</v>
      </c>
      <c r="F11" s="23"/>
      <c r="G11" s="23">
        <v>330</v>
      </c>
      <c r="H11" s="262"/>
      <c r="I11" s="18"/>
      <c r="J11" s="18"/>
      <c r="K11" s="18"/>
      <c r="L11" s="18">
        <v>12</v>
      </c>
      <c r="M11" s="207">
        <v>0.8</v>
      </c>
      <c r="N11" s="17">
        <v>0</v>
      </c>
      <c r="O11" s="17">
        <v>1</v>
      </c>
      <c r="P11" s="51" t="s">
        <v>815</v>
      </c>
      <c r="Q11" s="178">
        <v>42321</v>
      </c>
    </row>
    <row r="12" spans="1:19" s="5" customFormat="1" ht="112.5" x14ac:dyDescent="0.25">
      <c r="A12" s="22"/>
      <c r="B12" s="36">
        <v>41570.174305555556</v>
      </c>
      <c r="C12" s="13">
        <v>2.2999999999999998</v>
      </c>
      <c r="D12" s="13">
        <v>7.9</v>
      </c>
      <c r="E12" s="120">
        <f t="shared" si="0"/>
        <v>9.4469567054949231</v>
      </c>
      <c r="F12" s="22">
        <v>340</v>
      </c>
      <c r="G12" s="22">
        <v>334</v>
      </c>
      <c r="H12" s="264"/>
      <c r="I12" s="13"/>
      <c r="J12" s="13"/>
      <c r="K12" s="18"/>
      <c r="L12" s="13">
        <v>35</v>
      </c>
      <c r="M12" s="143"/>
      <c r="N12" s="5">
        <v>0</v>
      </c>
      <c r="O12" s="5">
        <v>1</v>
      </c>
      <c r="P12" s="23" t="s">
        <v>819</v>
      </c>
      <c r="Q12" s="6">
        <v>42321</v>
      </c>
    </row>
    <row r="13" spans="1:19" s="5" customFormat="1" ht="137.5" x14ac:dyDescent="0.25">
      <c r="A13" s="22"/>
      <c r="B13" s="36">
        <v>41581.13958333333</v>
      </c>
      <c r="C13" s="13">
        <v>2.2999999999999998</v>
      </c>
      <c r="D13" s="13">
        <v>7.9</v>
      </c>
      <c r="E13" s="120">
        <f t="shared" si="0"/>
        <v>9.4469567054949231</v>
      </c>
      <c r="F13" s="22">
        <v>101</v>
      </c>
      <c r="G13" s="22">
        <v>334</v>
      </c>
      <c r="H13" s="120" t="s">
        <v>435</v>
      </c>
      <c r="I13" s="121">
        <v>13.5</v>
      </c>
      <c r="J13" s="121"/>
      <c r="K13" s="18"/>
      <c r="L13" s="13">
        <v>35</v>
      </c>
      <c r="M13" s="143">
        <v>0.4</v>
      </c>
      <c r="N13" s="5">
        <v>0</v>
      </c>
      <c r="O13" s="5">
        <v>1</v>
      </c>
      <c r="P13" s="23" t="s">
        <v>820</v>
      </c>
      <c r="Q13" s="6">
        <v>42321</v>
      </c>
    </row>
    <row r="14" spans="1:19" s="5" customFormat="1" ht="62.5" x14ac:dyDescent="0.25">
      <c r="A14" s="22"/>
      <c r="B14" s="36">
        <v>41589.131944444445</v>
      </c>
      <c r="C14" s="13">
        <v>2.2999999999999998</v>
      </c>
      <c r="D14" s="13">
        <v>7.9</v>
      </c>
      <c r="E14" s="120">
        <f t="shared" si="0"/>
        <v>9.4469567054949231</v>
      </c>
      <c r="F14" s="22">
        <v>67</v>
      </c>
      <c r="G14" s="22">
        <v>334</v>
      </c>
      <c r="H14" s="120" t="s">
        <v>435</v>
      </c>
      <c r="I14" s="121">
        <v>13.8</v>
      </c>
      <c r="J14" s="121"/>
      <c r="K14" s="18"/>
      <c r="L14" s="13">
        <v>34</v>
      </c>
      <c r="M14" s="143"/>
      <c r="N14" s="5">
        <v>0</v>
      </c>
      <c r="O14" s="5">
        <v>1</v>
      </c>
      <c r="P14" s="23" t="s">
        <v>821</v>
      </c>
      <c r="Q14" s="6">
        <v>42321</v>
      </c>
    </row>
    <row r="15" spans="1:19" s="5" customFormat="1" x14ac:dyDescent="0.25">
      <c r="A15" s="22"/>
      <c r="B15" s="36"/>
      <c r="C15" s="13"/>
      <c r="D15" s="13"/>
      <c r="E15" s="13"/>
      <c r="F15" s="22"/>
      <c r="G15" s="22"/>
      <c r="H15" s="264"/>
      <c r="I15" s="13"/>
      <c r="J15" s="13"/>
      <c r="K15" s="13"/>
      <c r="L15" s="13"/>
      <c r="M15" s="143"/>
      <c r="P15" s="22"/>
      <c r="Q15" s="6"/>
    </row>
    <row r="16" spans="1:19" s="5" customFormat="1" x14ac:dyDescent="0.25">
      <c r="A16" s="22"/>
      <c r="B16" s="36"/>
      <c r="C16" s="13"/>
      <c r="D16" s="13"/>
      <c r="E16" s="13"/>
      <c r="F16" s="22"/>
      <c r="G16" s="22"/>
      <c r="H16" s="264"/>
      <c r="I16" s="13"/>
      <c r="J16" s="13"/>
      <c r="K16" s="13"/>
      <c r="L16" s="13"/>
      <c r="M16" s="143"/>
      <c r="P16" s="22"/>
      <c r="Q16" s="6"/>
    </row>
    <row r="17" spans="1:17" s="5" customFormat="1" x14ac:dyDescent="0.25">
      <c r="A17" s="22"/>
      <c r="B17" s="36"/>
      <c r="C17" s="13"/>
      <c r="D17" s="13"/>
      <c r="E17" s="13"/>
      <c r="F17" s="22"/>
      <c r="G17" s="22"/>
      <c r="H17" s="264"/>
      <c r="I17" s="13"/>
      <c r="J17" s="13"/>
      <c r="K17" s="13"/>
      <c r="L17" s="13"/>
      <c r="M17" s="143"/>
      <c r="P17" s="22"/>
      <c r="Q17" s="6"/>
    </row>
    <row r="18" spans="1:17" s="5" customFormat="1" x14ac:dyDescent="0.25">
      <c r="A18" s="22"/>
      <c r="B18" s="36"/>
      <c r="C18" s="13"/>
      <c r="D18" s="13"/>
      <c r="E18" s="13"/>
      <c r="F18" s="22"/>
      <c r="G18" s="22"/>
      <c r="H18" s="264"/>
      <c r="I18" s="13"/>
      <c r="J18" s="13"/>
      <c r="K18" s="13"/>
      <c r="L18" s="13"/>
      <c r="M18" s="143"/>
      <c r="P18" s="22"/>
      <c r="Q18" s="6"/>
    </row>
    <row r="19" spans="1:17" s="5" customFormat="1" x14ac:dyDescent="0.25">
      <c r="A19" s="22"/>
      <c r="B19" s="36"/>
      <c r="C19" s="13"/>
      <c r="D19" s="13"/>
      <c r="E19" s="13"/>
      <c r="F19" s="22"/>
      <c r="G19" s="22"/>
      <c r="H19" s="264"/>
      <c r="I19" s="13"/>
      <c r="J19" s="13"/>
      <c r="K19" s="13"/>
      <c r="L19" s="13"/>
      <c r="M19" s="143"/>
      <c r="P19" s="22"/>
      <c r="Q19" s="6"/>
    </row>
    <row r="20" spans="1:17" s="5" customFormat="1" x14ac:dyDescent="0.25">
      <c r="A20" s="22"/>
      <c r="B20" s="36"/>
      <c r="C20" s="13"/>
      <c r="D20" s="13"/>
      <c r="E20" s="13"/>
      <c r="F20" s="22"/>
      <c r="G20" s="22"/>
      <c r="H20" s="264"/>
      <c r="I20" s="13"/>
      <c r="J20" s="13"/>
      <c r="K20" s="13"/>
      <c r="L20" s="13"/>
      <c r="M20" s="143"/>
      <c r="P20" s="22"/>
      <c r="Q20" s="6"/>
    </row>
    <row r="21" spans="1:17" s="5" customFormat="1" x14ac:dyDescent="0.25">
      <c r="A21" s="22"/>
      <c r="B21" s="36"/>
      <c r="C21" s="13"/>
      <c r="D21" s="13"/>
      <c r="E21" s="13"/>
      <c r="F21" s="22"/>
      <c r="G21" s="22"/>
      <c r="H21" s="264"/>
      <c r="I21" s="13"/>
      <c r="J21" s="13"/>
      <c r="K21" s="13"/>
      <c r="L21" s="13"/>
      <c r="M21" s="143"/>
      <c r="P21" s="22"/>
      <c r="Q21" s="6"/>
    </row>
    <row r="22" spans="1:17" s="5" customFormat="1" x14ac:dyDescent="0.25">
      <c r="A22" s="22"/>
      <c r="B22" s="36"/>
      <c r="C22" s="13"/>
      <c r="D22" s="13"/>
      <c r="E22" s="13"/>
      <c r="F22" s="22"/>
      <c r="G22" s="22"/>
      <c r="H22" s="264"/>
      <c r="I22" s="13"/>
      <c r="J22" s="13"/>
      <c r="K22" s="13"/>
      <c r="L22" s="13"/>
      <c r="M22" s="143"/>
      <c r="P22" s="22"/>
      <c r="Q22" s="6"/>
    </row>
    <row r="23" spans="1:17" s="5" customFormat="1" x14ac:dyDescent="0.25">
      <c r="A23" s="22"/>
      <c r="B23" s="36"/>
      <c r="C23" s="13"/>
      <c r="D23" s="13"/>
      <c r="E23" s="13"/>
      <c r="F23" s="22"/>
      <c r="G23" s="22"/>
      <c r="H23" s="264"/>
      <c r="I23" s="13"/>
      <c r="J23" s="13"/>
      <c r="K23" s="13"/>
      <c r="L23" s="13"/>
      <c r="M23" s="143"/>
      <c r="P23" s="22"/>
      <c r="Q23" s="6"/>
    </row>
    <row r="24" spans="1:17" s="5" customFormat="1" x14ac:dyDescent="0.25">
      <c r="A24" s="22"/>
      <c r="B24" s="36"/>
      <c r="C24" s="13"/>
      <c r="D24" s="13"/>
      <c r="E24" s="13"/>
      <c r="F24" s="22"/>
      <c r="G24" s="22"/>
      <c r="H24" s="264"/>
      <c r="I24" s="13"/>
      <c r="J24" s="13"/>
      <c r="K24" s="13"/>
      <c r="L24" s="13"/>
      <c r="M24" s="143"/>
      <c r="P24" s="22"/>
      <c r="Q24" s="6"/>
    </row>
    <row r="25" spans="1:17" s="5" customFormat="1" x14ac:dyDescent="0.25">
      <c r="A25" s="22"/>
      <c r="B25" s="36"/>
      <c r="C25" s="13"/>
      <c r="D25" s="13"/>
      <c r="E25" s="13"/>
      <c r="F25" s="22"/>
      <c r="G25" s="22"/>
      <c r="H25" s="264"/>
      <c r="I25" s="13"/>
      <c r="J25" s="13"/>
      <c r="K25" s="13"/>
      <c r="L25" s="13"/>
      <c r="M25" s="143"/>
      <c r="P25" s="22"/>
      <c r="Q25" s="6"/>
    </row>
    <row r="26" spans="1:17" s="5" customFormat="1" x14ac:dyDescent="0.25">
      <c r="A26" s="22"/>
      <c r="B26" s="36"/>
      <c r="C26" s="13"/>
      <c r="D26" s="13"/>
      <c r="E26" s="13"/>
      <c r="F26" s="22"/>
      <c r="G26" s="22"/>
      <c r="H26" s="264"/>
      <c r="I26" s="13"/>
      <c r="J26" s="13"/>
      <c r="K26" s="13"/>
      <c r="L26" s="13"/>
      <c r="M26" s="143"/>
      <c r="P26" s="22"/>
      <c r="Q26" s="6"/>
    </row>
    <row r="27" spans="1:17" s="5" customFormat="1" x14ac:dyDescent="0.25">
      <c r="A27" s="22"/>
      <c r="B27" s="36"/>
      <c r="C27" s="13"/>
      <c r="D27" s="13"/>
      <c r="E27" s="13"/>
      <c r="F27" s="22"/>
      <c r="G27" s="22"/>
      <c r="H27" s="264"/>
      <c r="I27" s="13"/>
      <c r="J27" s="13"/>
      <c r="K27" s="13"/>
      <c r="L27" s="13"/>
      <c r="M27" s="143"/>
      <c r="P27" s="22"/>
      <c r="Q27" s="6"/>
    </row>
    <row r="28" spans="1:17" s="5" customFormat="1" x14ac:dyDescent="0.25">
      <c r="A28" s="22"/>
      <c r="B28" s="36"/>
      <c r="C28" s="13"/>
      <c r="D28" s="13"/>
      <c r="E28" s="13"/>
      <c r="F28" s="22"/>
      <c r="G28" s="22"/>
      <c r="H28" s="264"/>
      <c r="I28" s="13"/>
      <c r="J28" s="13"/>
      <c r="K28" s="13"/>
      <c r="L28" s="13"/>
      <c r="M28" s="143"/>
      <c r="P28" s="22"/>
      <c r="Q28" s="6"/>
    </row>
    <row r="29" spans="1:17" s="5" customFormat="1" x14ac:dyDescent="0.25">
      <c r="A29" s="22"/>
      <c r="B29" s="36"/>
      <c r="C29" s="13"/>
      <c r="D29" s="13"/>
      <c r="E29" s="13"/>
      <c r="F29" s="22"/>
      <c r="G29" s="22"/>
      <c r="H29" s="264"/>
      <c r="I29" s="13"/>
      <c r="J29" s="13"/>
      <c r="K29" s="13"/>
      <c r="L29" s="13"/>
      <c r="M29" s="143"/>
      <c r="P29" s="22"/>
      <c r="Q29" s="6"/>
    </row>
    <row r="30" spans="1:17" s="5" customFormat="1" x14ac:dyDescent="0.25">
      <c r="A30" s="22"/>
      <c r="B30" s="36"/>
      <c r="C30" s="13"/>
      <c r="D30" s="13"/>
      <c r="E30" s="13"/>
      <c r="F30" s="22"/>
      <c r="G30" s="22"/>
      <c r="H30" s="264"/>
      <c r="I30" s="13"/>
      <c r="J30" s="13"/>
      <c r="K30" s="13"/>
      <c r="L30" s="13"/>
      <c r="M30" s="143"/>
      <c r="P30" s="22"/>
      <c r="Q30" s="6"/>
    </row>
    <row r="31" spans="1:17" s="5" customFormat="1" x14ac:dyDescent="0.25">
      <c r="A31" s="22"/>
      <c r="B31" s="36"/>
      <c r="C31" s="13"/>
      <c r="D31" s="13"/>
      <c r="E31" s="13"/>
      <c r="F31" s="22"/>
      <c r="G31" s="22"/>
      <c r="H31" s="264"/>
      <c r="I31" s="13"/>
      <c r="J31" s="13"/>
      <c r="K31" s="13"/>
      <c r="L31" s="13"/>
      <c r="M31" s="143"/>
      <c r="P31" s="22"/>
      <c r="Q31" s="6"/>
    </row>
    <row r="32" spans="1:17" s="5" customFormat="1" x14ac:dyDescent="0.25">
      <c r="A32" s="22"/>
      <c r="B32" s="36"/>
      <c r="C32" s="13"/>
      <c r="D32" s="13"/>
      <c r="E32" s="13"/>
      <c r="F32" s="22"/>
      <c r="G32" s="22"/>
      <c r="H32" s="264"/>
      <c r="I32" s="13"/>
      <c r="J32" s="13"/>
      <c r="K32" s="13"/>
      <c r="L32" s="13"/>
      <c r="M32" s="143"/>
      <c r="P32" s="22"/>
      <c r="Q32" s="6"/>
    </row>
    <row r="33" spans="1:17" s="5" customFormat="1" x14ac:dyDescent="0.25">
      <c r="A33" s="22"/>
      <c r="B33" s="36"/>
      <c r="C33" s="13"/>
      <c r="D33" s="13"/>
      <c r="E33" s="13"/>
      <c r="F33" s="22"/>
      <c r="G33" s="22"/>
      <c r="H33" s="264"/>
      <c r="I33" s="13"/>
      <c r="J33" s="13"/>
      <c r="K33" s="13"/>
      <c r="L33" s="13"/>
      <c r="M33" s="143"/>
      <c r="P33" s="22"/>
      <c r="Q33" s="6"/>
    </row>
    <row r="34" spans="1:17" s="5" customFormat="1" x14ac:dyDescent="0.25">
      <c r="A34" s="22"/>
      <c r="B34" s="36"/>
      <c r="C34" s="13"/>
      <c r="D34" s="13"/>
      <c r="E34" s="13"/>
      <c r="F34" s="22"/>
      <c r="G34" s="22"/>
      <c r="H34" s="264"/>
      <c r="I34" s="13"/>
      <c r="J34" s="13"/>
      <c r="K34" s="13"/>
      <c r="L34" s="13"/>
      <c r="M34" s="143"/>
      <c r="P34" s="22"/>
      <c r="Q34" s="6"/>
    </row>
    <row r="35" spans="1:17" s="5" customFormat="1" x14ac:dyDescent="0.25">
      <c r="A35" s="22"/>
      <c r="B35" s="36"/>
      <c r="C35" s="13"/>
      <c r="D35" s="13"/>
      <c r="E35" s="13"/>
      <c r="F35" s="22"/>
      <c r="G35" s="22"/>
      <c r="H35" s="264"/>
      <c r="I35" s="13"/>
      <c r="J35" s="13"/>
      <c r="K35" s="13"/>
      <c r="L35" s="13"/>
      <c r="M35" s="143"/>
      <c r="P35" s="22"/>
      <c r="Q35" s="6"/>
    </row>
    <row r="36" spans="1:17" s="5" customFormat="1" x14ac:dyDescent="0.25">
      <c r="A36" s="22"/>
      <c r="B36" s="36"/>
      <c r="C36" s="13"/>
      <c r="D36" s="13"/>
      <c r="E36" s="13"/>
      <c r="F36" s="22"/>
      <c r="G36" s="22"/>
      <c r="H36" s="264"/>
      <c r="I36" s="13"/>
      <c r="J36" s="13"/>
      <c r="K36" s="13"/>
      <c r="L36" s="13"/>
      <c r="M36" s="143"/>
      <c r="P36" s="22"/>
      <c r="Q36" s="6"/>
    </row>
    <row r="37" spans="1:17" s="5" customFormat="1" x14ac:dyDescent="0.25">
      <c r="A37" s="22"/>
      <c r="B37" s="36"/>
      <c r="C37" s="13"/>
      <c r="D37" s="13"/>
      <c r="E37" s="13"/>
      <c r="F37" s="22"/>
      <c r="G37" s="22"/>
      <c r="H37" s="264"/>
      <c r="I37" s="13"/>
      <c r="J37" s="13"/>
      <c r="K37" s="13"/>
      <c r="L37" s="13"/>
      <c r="M37" s="143"/>
      <c r="P37" s="22"/>
      <c r="Q37" s="6"/>
    </row>
    <row r="38" spans="1:17" s="5" customFormat="1" x14ac:dyDescent="0.25">
      <c r="A38" s="22"/>
      <c r="B38" s="36"/>
      <c r="C38" s="13"/>
      <c r="D38" s="13"/>
      <c r="E38" s="13"/>
      <c r="F38" s="22"/>
      <c r="G38" s="22"/>
      <c r="H38" s="264"/>
      <c r="I38" s="13"/>
      <c r="J38" s="13"/>
      <c r="K38" s="13"/>
      <c r="L38" s="13"/>
      <c r="M38" s="143"/>
      <c r="P38" s="22"/>
      <c r="Q38" s="6"/>
    </row>
    <row r="39" spans="1:17" s="5" customFormat="1" x14ac:dyDescent="0.25">
      <c r="A39" s="22"/>
      <c r="B39" s="36"/>
      <c r="C39" s="13"/>
      <c r="D39" s="13"/>
      <c r="E39" s="13"/>
      <c r="F39" s="22"/>
      <c r="G39" s="22"/>
      <c r="H39" s="264"/>
      <c r="I39" s="13"/>
      <c r="J39" s="13"/>
      <c r="K39" s="13"/>
      <c r="L39" s="13"/>
      <c r="M39" s="143"/>
      <c r="P39" s="22"/>
      <c r="Q39" s="6"/>
    </row>
    <row r="40" spans="1:17" s="5" customFormat="1" x14ac:dyDescent="0.25">
      <c r="A40" s="22"/>
      <c r="B40" s="36"/>
      <c r="C40" s="13"/>
      <c r="D40" s="13"/>
      <c r="E40" s="13"/>
      <c r="F40" s="22"/>
      <c r="G40" s="22"/>
      <c r="H40" s="264"/>
      <c r="I40" s="13"/>
      <c r="J40" s="13"/>
      <c r="K40" s="13"/>
      <c r="L40" s="13"/>
      <c r="M40" s="143"/>
      <c r="P40" s="22"/>
      <c r="Q40" s="6"/>
    </row>
    <row r="41" spans="1:17" s="5" customFormat="1" x14ac:dyDescent="0.25">
      <c r="A41" s="22"/>
      <c r="B41" s="36"/>
      <c r="C41" s="13"/>
      <c r="D41" s="13"/>
      <c r="E41" s="13"/>
      <c r="F41" s="22"/>
      <c r="G41" s="22"/>
      <c r="H41" s="264"/>
      <c r="I41" s="13"/>
      <c r="J41" s="13"/>
      <c r="K41" s="13"/>
      <c r="L41" s="13"/>
      <c r="M41" s="143"/>
      <c r="P41" s="22"/>
      <c r="Q41" s="6"/>
    </row>
    <row r="42" spans="1:17" s="5" customFormat="1" x14ac:dyDescent="0.25">
      <c r="A42" s="22"/>
      <c r="B42" s="36"/>
      <c r="C42" s="13"/>
      <c r="D42" s="13"/>
      <c r="E42" s="13"/>
      <c r="F42" s="22"/>
      <c r="G42" s="22"/>
      <c r="H42" s="264"/>
      <c r="I42" s="13"/>
      <c r="J42" s="13"/>
      <c r="K42" s="13"/>
      <c r="L42" s="13"/>
      <c r="M42" s="143"/>
      <c r="P42" s="22"/>
      <c r="Q42" s="6"/>
    </row>
  </sheetData>
  <autoFilter ref="A1:S14" xr:uid="{00000000-0009-0000-0000-000009000000}"/>
  <printOptions gridLines="1"/>
  <pageMargins left="0.75" right="0.75" top="1" bottom="1" header="0.5" footer="0.5"/>
  <pageSetup scale="47" orientation="landscape" r:id="rId1"/>
  <headerFooter alignWithMargins="0">
    <oddHeader>&amp;L&amp;D&amp;C&amp;F - &amp;A&amp;R&amp;T</oddHeader>
    <oddFooter>Page &amp;P of &amp;N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Worksheets</vt:lpstr>
      </vt:variant>
      <vt:variant>
        <vt:i4>9</vt:i4>
      </vt:variant>
      <vt:variant>
        <vt:lpstr>Charts</vt:lpstr>
      </vt:variant>
      <vt:variant>
        <vt:i4>3</vt:i4>
      </vt:variant>
      <vt:variant>
        <vt:lpstr>Named Ranges</vt:lpstr>
      </vt:variant>
      <vt:variant>
        <vt:i4>16</vt:i4>
      </vt:variant>
    </vt:vector>
  </HeadingPairs>
  <TitlesOfParts>
    <vt:vector size="28" baseType="lpstr">
      <vt:lpstr>Summary</vt:lpstr>
      <vt:lpstr>All Planets</vt:lpstr>
      <vt:lpstr>Moon</vt:lpstr>
      <vt:lpstr>Venus</vt:lpstr>
      <vt:lpstr>Mars</vt:lpstr>
      <vt:lpstr>Jupiter</vt:lpstr>
      <vt:lpstr>Saturn</vt:lpstr>
      <vt:lpstr>Uranus</vt:lpstr>
      <vt:lpstr>Neptune</vt:lpstr>
      <vt:lpstr>Mars Seasonal Coverage Chart</vt:lpstr>
      <vt:lpstr>Mars Longitude Coverage Chart</vt:lpstr>
      <vt:lpstr>Mars Mapping Coverage</vt:lpstr>
      <vt:lpstr>'All Planets'!Print_Area</vt:lpstr>
      <vt:lpstr>Jupiter!Print_Area</vt:lpstr>
      <vt:lpstr>Mars!Print_Area</vt:lpstr>
      <vt:lpstr>Moon!Print_Area</vt:lpstr>
      <vt:lpstr>Neptune!Print_Area</vt:lpstr>
      <vt:lpstr>Saturn!Print_Area</vt:lpstr>
      <vt:lpstr>Uranus!Print_Area</vt:lpstr>
      <vt:lpstr>Venus!Print_Area</vt:lpstr>
      <vt:lpstr>'All Planets'!Print_Titles</vt:lpstr>
      <vt:lpstr>Jupiter!Print_Titles</vt:lpstr>
      <vt:lpstr>Mars!Print_Titles</vt:lpstr>
      <vt:lpstr>Moon!Print_Titles</vt:lpstr>
      <vt:lpstr>Neptune!Print_Titles</vt:lpstr>
      <vt:lpstr>Saturn!Print_Titles</vt:lpstr>
      <vt:lpstr>Uranus!Print_Titles</vt:lpstr>
      <vt:lpstr>Venus!Print_Titles</vt:lpstr>
    </vt:vector>
  </TitlesOfParts>
  <Company>U.S. Department of Commerce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Steven.Hill</dc:creator>
  <cp:lastModifiedBy>Steven Hill</cp:lastModifiedBy>
  <cp:lastPrinted>2010-10-14T22:15:05Z</cp:lastPrinted>
  <dcterms:created xsi:type="dcterms:W3CDTF">2004-10-07T17:12:54Z</dcterms:created>
  <dcterms:modified xsi:type="dcterms:W3CDTF">2020-04-06T17:25:59Z</dcterms:modified>
</cp:coreProperties>
</file>