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Q1" sheetId="1" r:id="rId4"/>
    <sheet state="visible" name="RQ2" sheetId="2" r:id="rId5"/>
    <sheet state="visible" name="RQ3" sheetId="3" r:id="rId6"/>
    <sheet state="visible" name="RQ4" sheetId="4" r:id="rId7"/>
    <sheet state="visible" name="RQ5" sheetId="5" r:id="rId8"/>
    <sheet state="visible" name="Summary" sheetId="6" r:id="rId9"/>
  </sheets>
  <definedNames/>
  <calcPr/>
</workbook>
</file>

<file path=xl/sharedStrings.xml><?xml version="1.0" encoding="utf-8"?>
<sst xmlns="http://schemas.openxmlformats.org/spreadsheetml/2006/main" count="1663" uniqueCount="407">
  <si>
    <t>Study</t>
  </si>
  <si>
    <t>Reference</t>
  </si>
  <si>
    <t>Smells</t>
  </si>
  <si>
    <t>Programming Languages</t>
  </si>
  <si>
    <t>Platforms</t>
  </si>
  <si>
    <t>Domains</t>
  </si>
  <si>
    <t>Smell</t>
  </si>
  <si>
    <t>Category</t>
  </si>
  <si>
    <t>Number of Studies</t>
  </si>
  <si>
    <t>References</t>
  </si>
  <si>
    <t>Programming Language</t>
  </si>
  <si>
    <t>References with Programming Language</t>
  </si>
  <si>
    <t>Number of References with Programming Language</t>
  </si>
  <si>
    <t>Abbes et al., 2011, Blob and spaghetti antipatterns</t>
  </si>
  <si>
    <t>abbes2011empirical</t>
  </si>
  <si>
    <t>Blob!, Spaghetti Code</t>
  </si>
  <si>
    <t>Java</t>
  </si>
  <si>
    <t>Email client, Project scheduling and management, XML parsing</t>
  </si>
  <si>
    <t>Feature Envy</t>
  </si>
  <si>
    <t>Production::Language-agnostic</t>
  </si>
  <si>
    <t>Yamashita and Moonen, 2013, Inter-smell relations on software maintainability</t>
  </si>
  <si>
    <t>yamashita2013exploring</t>
  </si>
  <si>
    <t>Interface Segregation Principle Violation, Use Interface Instead of Implementation, Temporary Variable Used for Several Purposes, Shotgun Surgery, Refused Parent Bequest, Misplaced Class, God Method, God Class, Feature Envy, Duplicate Code in Conditional Branches, Data Clump, Data Class</t>
  </si>
  <si>
    <t>Web-based information systems to keep track of empirical studies and resulting scientific publications</t>
  </si>
  <si>
    <t>Long Method</t>
  </si>
  <si>
    <t>SQL</t>
  </si>
  <si>
    <t>Yamashita et al., 2015, Inter-smell relations in industrial and open-source systems</t>
  </si>
  <si>
    <t>yamashita2015inter</t>
  </si>
  <si>
    <t>Data Class, Intensive Coupling, External Duplication, Message Chain, Internal Duplication, Shotgun Surgery, Feature Envy, Blob Operation, Data Clump, Sibling Duplication, Tradition Breaker, God Class, Schizophrenic Class, Distorted Hierarchy, Refused Parent Bequest</t>
  </si>
  <si>
    <t>Research grant application manager, Search server, Distributed or scalable machine learning algorithms in areas of collaborative filtering and clustering and classification</t>
  </si>
  <si>
    <t>Refused Parent Bequest</t>
  </si>
  <si>
    <t>PHP</t>
  </si>
  <si>
    <t>Palomba et al., 2016, Diffusion of test smells in auto-generated test code</t>
  </si>
  <si>
    <t>palomba2016diffusion</t>
  </si>
  <si>
    <t>Test Code Duplication, Sensitive Equality, For Testers Only, Indirect Testing, Assertion Roulette, Eager Test, Resource Optimism, Mystery Guest</t>
  </si>
  <si>
    <t>110 open-source software projects with tests generated by EvoSuite</t>
  </si>
  <si>
    <t>Complex Class</t>
  </si>
  <si>
    <t>Palomba et al., 2017, Code smell co-occurrences and association rule learning</t>
  </si>
  <si>
    <t>palomba2017investigating</t>
  </si>
  <si>
    <t>Speculative Generality, Spaghetti Code, Refused Parent Bequest, Middle Man, Message Chain, Long Parameter List, Long Method, Lazy Class, Inappropriate Intimacy, God Class, Feature Envy, Complex Class, Class Data Should Be Private</t>
  </si>
  <si>
    <t>30 open-source software projects</t>
  </si>
  <si>
    <t>God Class</t>
  </si>
  <si>
    <t>Palomba et al., 2018, Code smell co-occurrence lifecycle</t>
  </si>
  <si>
    <t>palomba2018large</t>
  </si>
  <si>
    <t>Speculative Generality, Spaghetti Code, Refused Parent Bequest, Middle Man, Message Chain, Long Parameter List, Long Method, Lazy Class, Inappropriate Intimacy, Feature Envy, Complex Class, Class Data Should Be Private, Blob!</t>
  </si>
  <si>
    <t>30 software projects from Apache Software Foundation and Eclipse Development Framework</t>
  </si>
  <si>
    <t>Message Chain</t>
  </si>
  <si>
    <t>Martins et al., 2020, Code smell co-occurrence impact on quality attributes</t>
  </si>
  <si>
    <t>martins2020code</t>
  </si>
  <si>
    <t>God Class, Long Method, Shotgun Surgery, Refused Parent Bequest, Intensive Coupling, Dispersed Coupling, Feature Envy</t>
  </si>
  <si>
    <t>Electronic dental record, Academic offer, Warehouse</t>
  </si>
  <si>
    <t>Long Parameter List</t>
  </si>
  <si>
    <t>Fontana et al., 2015, Code smell co-occurrences and architecture quality</t>
  </si>
  <si>
    <t>fontana2015towards</t>
  </si>
  <si>
    <t>Message Chain, Dispersed Coupling, Shotgun Surgery, Brain Method, Data Class, God Class</t>
  </si>
  <si>
    <t>Qualitas Corpus</t>
  </si>
  <si>
    <t>Shotgun Surgery</t>
  </si>
  <si>
    <t>Ogenrwot et al., 2020, Code smell co-occurrence in desktop and mobile apps</t>
  </si>
  <si>
    <t>ogenrwot2020comparison</t>
  </si>
  <si>
    <t>Lazy Class, Large Class, Anti-Singleton, Blob!, Swiss Army Knife, Refused Parent Bequest, Spaghetti Code, Message Chain, Many Field Attributes But Not Complex, Class Data Should Be Private, Speculative Generality, Base Class Should Be Abstract, Long Parameter List, Complex Class, Long Method</t>
  </si>
  <si>
    <t>Android, Desktop</t>
  </si>
  <si>
    <t>7 Android apps, 5 Desktop systems</t>
  </si>
  <si>
    <t>Spaghetti Code</t>
  </si>
  <si>
    <t>Muse et al., 2020, SQL code smell co-occurrences</t>
  </si>
  <si>
    <t>muse2020prevalence</t>
  </si>
  <si>
    <t>Complex Class, Anti-Singleton, Long Parameter List, Long Method, Ambiguous Groups, Random Selection, Fear of the Unknown, Implicit Columns</t>
  </si>
  <si>
    <t>Java, SQL</t>
  </si>
  <si>
    <t>Business, Library, Multimedia, Utility</t>
  </si>
  <si>
    <t>Lazy Class</t>
  </si>
  <si>
    <t>Bessghaier et al., 2021, Code smell co-occurrence in web apps</t>
  </si>
  <si>
    <t>bessghaier2020diffusion</t>
  </si>
  <si>
    <t>Too Many Methods, Too Many Public Methods, Excessive Parameter List, Excessive Class Length, Excessive Method Length, High NPath Complexity, High Method Complexity, Goto Statement, Empty Catch Block, High Coupling, Excessive Depth of Inheritance, Excessive Number of Children</t>
  </si>
  <si>
    <t>Database management system, Content management system, Website traffic analysis, PHP development framework, E-learning management system, Bulletin board software</t>
  </si>
  <si>
    <t>Speculative Generality</t>
  </si>
  <si>
    <t>Martins et al., 2021, Code smell co-occurrence removal impact on quality attributes</t>
  </si>
  <si>
    <t>martins2021code</t>
  </si>
  <si>
    <t>Long Method, Shotgun Surgery, Intensive Coupling, Dispersed Coupling, God Class, Feature Envy</t>
  </si>
  <si>
    <t>Management of events, Extension and research projects, Risk management, Employee Competency, Student Activities</t>
  </si>
  <si>
    <t>Blob!</t>
  </si>
  <si>
    <t>Sobrinho et al., 2021, Inter-play of Large Class, Complex Class and Duplicate Code</t>
  </si>
  <si>
    <t>sobrinho2021interplay</t>
  </si>
  <si>
    <t>Duplicate Code!, Complex Class, Large Class</t>
  </si>
  <si>
    <t>UML diagramming, Text engine search library, Database management, Distributed computing, Build tool and library</t>
  </si>
  <si>
    <t>Class Data Should Be Private</t>
  </si>
  <si>
    <t>Hamdi et al., 2021, An Empirical Study on Code Smells Co-occurrences in Android Applications</t>
  </si>
  <si>
    <t>hamdi2021empirical</t>
  </si>
  <si>
    <t>Blob Class, Complex Class, Feature Envy, Lazy Class, Long Method, Long Parameter List, Message Chain, Refused Parent Bequest, Spaghetti Code, Speculative Generality, Data Transmission Without Compression, Debuggable Release, Durable Wakelock, Inefficient Data Format and Parser, Inefficient Data Structure, Inefficient SQL Query, Internal Getter and Setter, Leaking Inner Class, Leaking Thread, Member Ignoring Method, No Low Memory Resolver, Public Data, Rigid Alarm Manager, Slow Loop, Unclosed Closable</t>
  </si>
  <si>
    <t>Android</t>
  </si>
  <si>
    <t>1923 open-source Android apps</t>
  </si>
  <si>
    <t>Data Class</t>
  </si>
  <si>
    <t>Dispersed Coupling</t>
  </si>
  <si>
    <t>Intensive Coupling</t>
  </si>
  <si>
    <t>Anti-Singleton</t>
  </si>
  <si>
    <t>Data Clump</t>
  </si>
  <si>
    <t>Inappropriate Intimacy</t>
  </si>
  <si>
    <t>Large Class</t>
  </si>
  <si>
    <t>Middle Man</t>
  </si>
  <si>
    <t>Base Class Should Be Abstract</t>
  </si>
  <si>
    <t>Blob Class</t>
  </si>
  <si>
    <t>Blob Operation</t>
  </si>
  <si>
    <t>Brain Method</t>
  </si>
  <si>
    <t>Distorted Hierarchy</t>
  </si>
  <si>
    <t>Duplicate Code in Conditional Branches</t>
  </si>
  <si>
    <t>Duplicate Code!</t>
  </si>
  <si>
    <t>Empty Catch Block</t>
  </si>
  <si>
    <t>Excessive Class Length</t>
  </si>
  <si>
    <t>Excessive Depth of Inheritance</t>
  </si>
  <si>
    <t>Excessive Method Length</t>
  </si>
  <si>
    <t>Excessive Number of Children</t>
  </si>
  <si>
    <t>Excessive Parameter List</t>
  </si>
  <si>
    <t>External Duplication</t>
  </si>
  <si>
    <t>God Method</t>
  </si>
  <si>
    <t>Goto Statement</t>
  </si>
  <si>
    <t>High Coupling</t>
  </si>
  <si>
    <t>High Method Complexity</t>
  </si>
  <si>
    <t>High NPath Complexity</t>
  </si>
  <si>
    <t>Interface Segregation Principle Violation</t>
  </si>
  <si>
    <t>Internal Duplication</t>
  </si>
  <si>
    <t>Many Field Attributes But Not Complex</t>
  </si>
  <si>
    <t>Misplaced Class</t>
  </si>
  <si>
    <t>Schizophrenic Class</t>
  </si>
  <si>
    <t>Sibling Duplication</t>
  </si>
  <si>
    <t>Swiss Army Knife</t>
  </si>
  <si>
    <t>Temporary Variable Used for Several Purposes</t>
  </si>
  <si>
    <t>Too Many Methods</t>
  </si>
  <si>
    <t>Too Many Public Methods</t>
  </si>
  <si>
    <t>Tradition Breaker</t>
  </si>
  <si>
    <t>Use Interface Instead of Implementation</t>
  </si>
  <si>
    <t>Ambiguous Groups</t>
  </si>
  <si>
    <t>Production::Language-specific</t>
  </si>
  <si>
    <t>Data Transmission Without Compression</t>
  </si>
  <si>
    <t>Debuggable Release</t>
  </si>
  <si>
    <t>Durable Wakelock</t>
  </si>
  <si>
    <t>Fear of the Unknown</t>
  </si>
  <si>
    <t>Implicit Columns</t>
  </si>
  <si>
    <t>Inefficient Data Format and Parser</t>
  </si>
  <si>
    <t>Inefficient Data Structure</t>
  </si>
  <si>
    <t>Inefficient SQL Query</t>
  </si>
  <si>
    <t>Internal Getter and Setter</t>
  </si>
  <si>
    <t>Leaking Inner Class</t>
  </si>
  <si>
    <t>Leaking Thread</t>
  </si>
  <si>
    <t>Member Ignoring Method</t>
  </si>
  <si>
    <t>No Low Memory Resolver</t>
  </si>
  <si>
    <t>Public Data</t>
  </si>
  <si>
    <t>Random Selection</t>
  </si>
  <si>
    <t>Rigid Alarm Manager</t>
  </si>
  <si>
    <t>Slow Loop</t>
  </si>
  <si>
    <t>Unclosed Closable</t>
  </si>
  <si>
    <t>Assertion Roulette</t>
  </si>
  <si>
    <t>Test</t>
  </si>
  <si>
    <t>Eager Test</t>
  </si>
  <si>
    <t>For Testers Only</t>
  </si>
  <si>
    <t>Indirect Testing</t>
  </si>
  <si>
    <t>Mystery Guest</t>
  </si>
  <si>
    <t>Resource Optimism</t>
  </si>
  <si>
    <t>Sensitive Equality</t>
  </si>
  <si>
    <t>Test Code Duplication</t>
  </si>
  <si>
    <t>Measurements</t>
  </si>
  <si>
    <t>N/A</t>
  </si>
  <si>
    <t>Lines of Code Without Accessor or Mutator Methods, Lines of Code, Weighted Methods Count of Not Accessor or Mutator Methods, Number of Not Accessor or Mutator Methods, Tight Class Cohesion, Access to Foreign Data, Weight of Class, Number of Accessor Methods, Number of Public Attributes, McCabe Cyclomatic Complexity, Maximum Nesting Level, Number of Local Variables, Access to Local Data, Changing Classes, Changing Methods, Number of Called Classes, Coupling Intensity, Coupling Dispersion, Maximum Message Chain Length, Mean Message Chain Length, Number of Message Chain Statements</t>
  </si>
  <si>
    <t>Cyclomatic Complexity, Number of Methods Declared, The Number of Tokens of Clone</t>
  </si>
  <si>
    <t>Tools</t>
  </si>
  <si>
    <t>Tool</t>
  </si>
  <si>
    <t>DECOR</t>
  </si>
  <si>
    <t>inCode, Borland Together</t>
  </si>
  <si>
    <t>JDeodorant</t>
  </si>
  <si>
    <t>Gephi, depFinder, inFusion</t>
  </si>
  <si>
    <t>JSpIRIT</t>
  </si>
  <si>
    <t>Test Smell Detector</t>
  </si>
  <si>
    <t>Semi-manual</t>
  </si>
  <si>
    <t>Understand</t>
  </si>
  <si>
    <t>Borland Together</t>
  </si>
  <si>
    <t>Understand, JDeodorant, JSpIRIT</t>
  </si>
  <si>
    <t>depFinder</t>
  </si>
  <si>
    <t>Tool with detection rules</t>
  </si>
  <si>
    <t>Gephi</t>
  </si>
  <si>
    <t>Ptidej</t>
  </si>
  <si>
    <t>inCode</t>
  </si>
  <si>
    <t>DECOR, SQLInspect</t>
  </si>
  <si>
    <t>inFusion</t>
  </si>
  <si>
    <t>PHPMD</t>
  </si>
  <si>
    <t>JSpIRIT, JDeodorant, Understand</t>
  </si>
  <si>
    <t>PMD!</t>
  </si>
  <si>
    <t>DECOR, PMD!</t>
  </si>
  <si>
    <t>aDoctor, Organic</t>
  </si>
  <si>
    <t>SQLInspect</t>
  </si>
  <si>
    <t>aDoctor</t>
  </si>
  <si>
    <t>Organic</t>
  </si>
  <si>
    <t>Algorithms/Techniques</t>
  </si>
  <si>
    <t>Technique</t>
  </si>
  <si>
    <t>Number of Techniques</t>
  </si>
  <si>
    <t>DEX</t>
  </si>
  <si>
    <t>Manual</t>
  </si>
  <si>
    <t>Factor-Strategy, Principal Component Analysis</t>
  </si>
  <si>
    <t>Apriori</t>
  </si>
  <si>
    <t>Principal Component Analysis</t>
  </si>
  <si>
    <t>Chi-squared test</t>
  </si>
  <si>
    <t>Heuristic metric-based technique</t>
  </si>
  <si>
    <t>Cramer's V association test</t>
  </si>
  <si>
    <t>Association Rule Learning</t>
  </si>
  <si>
    <t>Automatic, Manual</t>
  </si>
  <si>
    <t>Automatic</t>
  </si>
  <si>
    <t>Detection Rules</t>
  </si>
  <si>
    <t>Powered Outer Probabilistic Clustering</t>
  </si>
  <si>
    <t>Apriori, Cramer's V association test, Chi-squared test</t>
  </si>
  <si>
    <t>Factor-Strategy</t>
  </si>
  <si>
    <t>Logistic Regression Model</t>
  </si>
  <si>
    <t>Logistic Regression Model, Odds Ratio</t>
  </si>
  <si>
    <t>Odds Ratio</t>
  </si>
  <si>
    <t>Co-occurences</t>
  </si>
  <si>
    <t>Number of Co-occurrences</t>
  </si>
  <si>
    <t>All Co-occurrences One Row</t>
  </si>
  <si>
    <t>All Co-occurrences Multiple Rows 2</t>
  </si>
  <si>
    <t>All Co-occurrences Multiple Rows 2 Reversed</t>
  </si>
  <si>
    <t>All Co-occurrences Multiple Rows 2 Without Reversed</t>
  </si>
  <si>
    <t>All Co-occurrences Multiple Rows 2 With Shared Reversed Only</t>
  </si>
  <si>
    <t>All Co-occurrences Multiple Rows 2 Unique</t>
  </si>
  <si>
    <t>Smells with Co-Occurrences</t>
  </si>
  <si>
    <t>Co-occurring Smells</t>
  </si>
  <si>
    <t>Number of Co-occurring Smells</t>
  </si>
  <si>
    <t>Blob! and Spaghetti Code</t>
  </si>
  <si>
    <t>Feature Envy and Data Clump, Feature Envy and Data Class, God Class and Data Clump, God Class and Data Class, God Method and Data Clump, God Method and Data Class, Feature Envy and Interface Segregation Principle Violation, Feature Envy and Shotgun Surgery, God Class and Interface Segregation Principle Violation, God Class and Shotgun Surgery, God Method and Interface Segregation Principle Violation, God Method and Shotgun Surgery, Feature Envy and Temporary Variable Used for Several Purposes, Feature Envy and Duplicate Code in Conditional Branches, God Class and Temporary Variable Used for Several Purposes, God Class and Duplicate Code in Conditional Branches, God Method and Temporary Variable Used for Several Purposes, God Method and Duplicate Code in Conditional Branches, Data Clump and Interface Segregation Principle Violation, Data Clump and Shotgun Surgery, Data Class and Interface Segregation Principle Violation, Data Class and Shotgun Surgery</t>
  </si>
  <si>
    <t>Indirect Testing and Assertion Roulette</t>
  </si>
  <si>
    <t>Blob Class and Blob Operation, Blob Class and Schizophrenic Class, Blob Class and Tradition Breaker, Blob Operation and Data Clump, Blob Operation and God Class, Blob Operation and Internal Duplication, Blob Operation and Shotgun Surgery, Data Class and External Duplication, Data Class and Feature Envy, Data Class and Message Chain, Data Class and Schizophrenic Class, Data Clump and External Duplication, Data Clump and Feature Envy, Data Clump and God Class, Data Clump and Internal Duplication, Data Clump and Refused Parent Bequest, External Duplication and Blob Operation, External Duplication and God Class, Feature Envy and Blob Operation, Feature Envy and God Class, Feature Envy and Intensive Coupling, Feature Envy and Internal Duplication, Feature Envy and Message Chain, Feature Envy and Refused Parent Bequest, Feature Envy and Schizophrenic Class, God Class and Data Class, God Class and Intensive Coupling, God Class and Internal Duplication, God Class and Message Chain, God Class and Schizophrenic Class, Intensive Coupling and Blob Operation, Intensive Coupling and Data Clump, Internal Duplication and Blob Class, Internal Duplication and Data Class, Internal Duplication and External Duplication, Internal Duplication and Intensive Coupling, Internal Duplication and Schizophrenic Class, Internal Duplication and Sibling Duplication, Message Chain and External Duplication, Message Chain and Internal Duplication, Message Chain and Schizophrenic Class, Message Chain and Sibling Duplication, Refused Parent Bequest and God Class, Schizophrenic Class and Blob Operation, Schizophrenic Class and Data Clump, Schizophrenic Class and Intensive Coupling, Shotgun Surgery and Internal Duplication, Sibling Duplication and Data Class, Sibling Duplication and External Duplication, Tradition Breaker and Blob Operation, Tradition Breaker and Internal Duplication, Tradition Breaker and Schizophrenic Class</t>
  </si>
  <si>
    <t>Mystery Guest and Assertion Roulette</t>
  </si>
  <si>
    <t>Mystery Guest and Resource Optimism, Mystery Guest and Indirect Testing, Mystery Guest and Eager Test, Test Code Duplication and Indirect Testing, Test Code Duplication and Eager Test, Test Code Duplication and Mystery Guest, Test Code Duplication and Sensitive Equality, Eager Test and Resource Optimism, Eager Test and Indirect Testing, Assertion Roulette and Eager Test, Assertion Roulette and Mystery Guest, Assertion Roulette and Sensitive Equality, Assertion Roulette and Resource Optimism, Assertion Roulette and Indirect Testing, Assertion Roulette and Test Code Duplication</t>
  </si>
  <si>
    <t>Resource Optimism and Assertion Roulette</t>
  </si>
  <si>
    <t>Message Chain and Complex Class, Message Chain and Refused Bequest, Long Method and Long Parameter List, Long Method and Feature Envy, Long Method and Spaghetti Code, Inappropriate Intimacy and Feature Envy</t>
  </si>
  <si>
    <t>Sensitive Equality and Assertion Roulette</t>
  </si>
  <si>
    <t>Message Chain and Spaghetti Code, Message Chain and Complex Class, Message Chain and Blob!, Message Chain and Refused Bequest, Long Method and Feature Envy, Long Method and Spaghetti Code</t>
  </si>
  <si>
    <t>Test Code Duplication and Assertion Roulette</t>
  </si>
  <si>
    <t>God Class and Long Method, Dispersed Coupling and Long Method, Dispersed Coupling and Feature Envy, Feature Envy and Long Method, Feature Envy and God Class</t>
  </si>
  <si>
    <t>Blob Operation and Blob Class</t>
  </si>
  <si>
    <t>God Class and Data Class, God Class and Brain Method</t>
  </si>
  <si>
    <t>Schizophrenic Class and Blob Class</t>
  </si>
  <si>
    <t>Speculative Generality and Swiss Army Knife, Long Parameter List and Class Data Should Be Private</t>
  </si>
  <si>
    <t>Tradition Breaker and Blob Class</t>
  </si>
  <si>
    <t>Implicit Columns and Long Parameter List, Implicit Columns and Complex Class, Implicit Columns and Anti-Singleton, Fear of the Unknown and Long Method, Fear of the Unknown and Long Parameter List, Fear of the Unknown and Complex Class, Fear of the Unknown and Anti-Singleton</t>
  </si>
  <si>
    <t>Data Clump and Blob Operation</t>
  </si>
  <si>
    <t>High Method Complexity and Excessive Number of Children, High Method Complexity and High Coupling, High Method Complexity and Empty Catch Block, High Method Complexity and Goto Statement, High Method Complexity and High NPath Complexity, High Method Complexity and Excessive Method Length, High Method Complexity and Excessive Class Length, High Method Complexity and Excessive Parameter List, High Method Complexity and Too Many Public Methods, High Method Complexity and Too Many Methods, High NPath Complexity and Goto Statement, High NPath Complexity and Too Many Methods, Too Many Public Methods and Too Many Methods, Excessive Parameter List and Too Many Methods, Excessive Parameter List and High Coupling, Excessive Parameter List and High NPath Complexity, Excessive Class Length and Excessive Method Length, Excessive Class Length and Too Many Methods, Excessive Class Length and Too Many Public Methods, Excessive Method Length and Too Many Public Methods</t>
  </si>
  <si>
    <t>God Class and Blob Operation</t>
  </si>
  <si>
    <t>Dispersed Coupling and God Class, Feature Envy and God Class, Feature Envy and Long Method, God Class and Long Method, God Class and Shotgun Surgery, Intensive Coupling and Long Method</t>
  </si>
  <si>
    <t>Internal Duplication and Blob Operation</t>
  </si>
  <si>
    <t>Large Class and Complex Class, Duplicate Code! and Large Class, Duplicate Code! and Complex Class</t>
  </si>
  <si>
    <t>Shotgun Surgery and Blob Operation</t>
  </si>
  <si>
    <t>Feature Envy and Long Method, Long Method and Long Parameter List, Complex Class and Message Chain, Complex Class and Feature Envy, Long Parameter List and Feature Envy, No Low Memory Resolver and Member Ignoring Method, Leaking Inner Class and Member Ignoring Method, Message Chain and Member Ignoring Method, Slow Loop and Member Ignoring Method, Complex Class and Member Ignoring Method, Long Method and Member Ignoring Method, Long Parameter List and Member Ignoring Method</t>
  </si>
  <si>
    <t>Spaghetti Code and Blob!</t>
  </si>
  <si>
    <t>Feature Envy and Complex Class</t>
  </si>
  <si>
    <t>Member Ignoring Method and Complex Class</t>
  </si>
  <si>
    <t>Message Chain and Complex Class</t>
  </si>
  <si>
    <t>External Duplication and Data Class</t>
  </si>
  <si>
    <t>Feature Envy and Data Class</t>
  </si>
  <si>
    <t>Interface Segregation Principle Violation and Data Class</t>
  </si>
  <si>
    <t>Message Chain and Data Class</t>
  </si>
  <si>
    <t>Schizophrenic Class and Data Class</t>
  </si>
  <si>
    <t>Shotgun Surgery and Data Class</t>
  </si>
  <si>
    <t>External Duplication and Data Clump</t>
  </si>
  <si>
    <t>Feature Envy and Data Clump</t>
  </si>
  <si>
    <t>God Class and Data Clump</t>
  </si>
  <si>
    <t>Interface Segregation Principle Violation and Data Clump</t>
  </si>
  <si>
    <t>Internal Duplication and Data Clump</t>
  </si>
  <si>
    <t>Refused Parent Bequest and Data Clump</t>
  </si>
  <si>
    <t>Shotgun Surgery and Data Clump</t>
  </si>
  <si>
    <t>Feature Envy and Dispersed Coupling</t>
  </si>
  <si>
    <t>God Class and Dispersed Coupling</t>
  </si>
  <si>
    <t>Long Method and Dispersed Coupling</t>
  </si>
  <si>
    <t>Complex Class and Duplicate Code!</t>
  </si>
  <si>
    <t>Large Class and Duplicate Code!</t>
  </si>
  <si>
    <t>Indirect Testing and Eager Test</t>
  </si>
  <si>
    <t>Resource Optimism and Eager Test</t>
  </si>
  <si>
    <t>Excessive Method Length and Excessive Class Length</t>
  </si>
  <si>
    <t>Too Many Methods and Excessive Class Length</t>
  </si>
  <si>
    <t>Too Many Public Methods and Excessive Class Length</t>
  </si>
  <si>
    <t>Too Many Public Methods and Excessive Method Length</t>
  </si>
  <si>
    <t>High Coupling and Excessive Parameter List</t>
  </si>
  <si>
    <t>High NPath Complexity and Excessive Parameter List</t>
  </si>
  <si>
    <t>Too Many Methods and Excessive Parameter List</t>
  </si>
  <si>
    <t>Blob Operation and External Duplication</t>
  </si>
  <si>
    <t>God Class and External Duplication</t>
  </si>
  <si>
    <t>Anti-Singleton and Fear of the Unknown</t>
  </si>
  <si>
    <t>Complex Class and Fear of the Unknown</t>
  </si>
  <si>
    <t>Long Method and Fear of the Unknown</t>
  </si>
  <si>
    <t>Long Parameter List and Fear of the Unknown</t>
  </si>
  <si>
    <t>Blob Operation and Feature Envy</t>
  </si>
  <si>
    <t>Data Class and Feature Envy</t>
  </si>
  <si>
    <t>Data Clump and Feature Envy</t>
  </si>
  <si>
    <t>Duplicate Code in Conditional Branches and Feature Envy</t>
  </si>
  <si>
    <t>God Class and Feature Envy</t>
  </si>
  <si>
    <t>Intensive Coupling and Feature Envy</t>
  </si>
  <si>
    <t>Interface Segregation Principle Violation and Feature Envy</t>
  </si>
  <si>
    <t>Internal Duplication and Feature Envy</t>
  </si>
  <si>
    <t>Long Method and Feature Envy</t>
  </si>
  <si>
    <t>Message Chain and Feature Envy</t>
  </si>
  <si>
    <t>Refused Parent Bequest and Feature Envy</t>
  </si>
  <si>
    <t>Schizophrenic Class and Feature Envy</t>
  </si>
  <si>
    <t>Shotgun Surgery and Feature Envy</t>
  </si>
  <si>
    <t>Temporary Variable Used for Several Purposes and Feature Envy</t>
  </si>
  <si>
    <t>Brain Method and God Class</t>
  </si>
  <si>
    <t>Data Class and God Class</t>
  </si>
  <si>
    <t>Data Clump and God Class</t>
  </si>
  <si>
    <t>Duplicate Code in Conditional Branches and God Class</t>
  </si>
  <si>
    <t>Intensive Coupling and God Class</t>
  </si>
  <si>
    <t>Interface Segregation Principle Violation and God Class</t>
  </si>
  <si>
    <t>Internal Duplication and God Class</t>
  </si>
  <si>
    <t>Long Method and God Class</t>
  </si>
  <si>
    <t>Message Chain and God Class</t>
  </si>
  <si>
    <t>Schizophrenic Class and God Class</t>
  </si>
  <si>
    <t>Shotgun Surgery and God Class</t>
  </si>
  <si>
    <t>Temporary Variable Used for Several Purposes and God Class</t>
  </si>
  <si>
    <t>Data Class and God Method</t>
  </si>
  <si>
    <t>Data Clump and God Method</t>
  </si>
  <si>
    <t>Duplicate Code in Conditional Branches and God Method</t>
  </si>
  <si>
    <t>Interface Segregation Principle Violation and God Method</t>
  </si>
  <si>
    <t>Shotgun Surgery and God Method</t>
  </si>
  <si>
    <t>Temporary Variable Used for Several Purposes and God Method</t>
  </si>
  <si>
    <t>Empty Catch Block and High Method Complexity</t>
  </si>
  <si>
    <t>Excessive Class Length and High Method Complexity</t>
  </si>
  <si>
    <t>Excessive Method Length and High Method Complexity</t>
  </si>
  <si>
    <t>Excessive Number of Children and High Method Complexity</t>
  </si>
  <si>
    <t>Excessive Parameter List and High Method Complexity</t>
  </si>
  <si>
    <t>Goto Statement and High Method Complexity</t>
  </si>
  <si>
    <t>High Coupling and High Method Complexity</t>
  </si>
  <si>
    <t>High NPath Complexity and High Method Complexity</t>
  </si>
  <si>
    <t>Too Many Methods and High Method Complexity</t>
  </si>
  <si>
    <t>Too Many Public Methods and High Method Complexity</t>
  </si>
  <si>
    <t>Goto Statement and High NPath Complexity</t>
  </si>
  <si>
    <t>Too Many Methods and High NPath Complexity</t>
  </si>
  <si>
    <t>Anti-Singleton and Implicit Columns</t>
  </si>
  <si>
    <t>Complex Class and Implicit Columns</t>
  </si>
  <si>
    <t>Long Parameter List and Implicit Columns</t>
  </si>
  <si>
    <t>Feature Envy and Inappropriate Intimacy</t>
  </si>
  <si>
    <t>Blob Operation and Intensive Coupling</t>
  </si>
  <si>
    <t>Data Clump and Intensive Coupling</t>
  </si>
  <si>
    <t>Long Method and Intensive Coupling</t>
  </si>
  <si>
    <t>Blob Class and Internal Duplication</t>
  </si>
  <si>
    <t>Data Class and Internal Duplication</t>
  </si>
  <si>
    <t>External Duplication and Internal Duplication</t>
  </si>
  <si>
    <t>Intensive Coupling and Internal Duplication</t>
  </si>
  <si>
    <t>Schizophrenic Class and Internal Duplication</t>
  </si>
  <si>
    <t>Sibling Duplication and Internal Duplication</t>
  </si>
  <si>
    <t>Complex Class and Large Class</t>
  </si>
  <si>
    <t>Member Ignoring Method and Leaking Inner Class</t>
  </si>
  <si>
    <t>Feature Envy and Long Method</t>
  </si>
  <si>
    <t>Long Parameter List and Long Method</t>
  </si>
  <si>
    <t>Member Ignoring Method and Long Method</t>
  </si>
  <si>
    <t>Spaghetti Code and Long Method</t>
  </si>
  <si>
    <t>Class Data Should Be Private and Long Parameter List</t>
  </si>
  <si>
    <t>Feature Envy and Long Parameter List</t>
  </si>
  <si>
    <t>Member Ignoring Method and Long Parameter List</t>
  </si>
  <si>
    <t>Blob! and Message Chain</t>
  </si>
  <si>
    <t>Complex Class and Message Chain</t>
  </si>
  <si>
    <t>External Duplication and Message Chain</t>
  </si>
  <si>
    <t>Internal Duplication and Message Chain</t>
  </si>
  <si>
    <t>Member Ignoring Method and Message Chain</t>
  </si>
  <si>
    <t>Refused Bequest and Message Chain</t>
  </si>
  <si>
    <t>Schizophrenic Class and Message Chain</t>
  </si>
  <si>
    <t>Sibling Duplication and Message Chain</t>
  </si>
  <si>
    <t>Spaghetti Code and Message Chain</t>
  </si>
  <si>
    <t>Eager Test and Mystery Guest</t>
  </si>
  <si>
    <t>Indirect Testing and Mystery Guest</t>
  </si>
  <si>
    <t>Resource Optimism and Mystery Guest</t>
  </si>
  <si>
    <t>Member Ignoring Method and No Low Memory Resolver</t>
  </si>
  <si>
    <t>God Class and Refused Parent Bequest</t>
  </si>
  <si>
    <t>Blob Operation and Schizophrenic Class</t>
  </si>
  <si>
    <t>Data Clump and Schizophrenic Class</t>
  </si>
  <si>
    <t>Intensive Coupling and Schizophrenic Class</t>
  </si>
  <si>
    <t>Internal Duplication and Shotgun Surgery</t>
  </si>
  <si>
    <t>Data Class and Sibling Duplication</t>
  </si>
  <si>
    <t>External Duplication and Sibling Duplication</t>
  </si>
  <si>
    <t>Member Ignoring Method and Slow Loop</t>
  </si>
  <si>
    <t>Swiss Army Knife and Speculative Generality</t>
  </si>
  <si>
    <t>Eager Test and Test Code Duplication</t>
  </si>
  <si>
    <t>Indirect Testing and Test Code Duplication</t>
  </si>
  <si>
    <t>Mystery Guest and Test Code Duplication</t>
  </si>
  <si>
    <t>Sensitive Equality and Test Code Duplication</t>
  </si>
  <si>
    <t>Too Many Methods and Too Many Public Methods</t>
  </si>
  <si>
    <t>Blob Operation and Tradition Breaker</t>
  </si>
  <si>
    <t>Internal Duplication and Tradition Breaker</t>
  </si>
  <si>
    <t>Schizophrenic Class and Tradition Breaker</t>
  </si>
  <si>
    <t/>
  </si>
  <si>
    <t>Languages</t>
  </si>
  <si>
    <t>Number of Smells</t>
  </si>
  <si>
    <t>Number of Tools</t>
  </si>
  <si>
    <t>Techniques</t>
  </si>
  <si>
    <t>Co-occurrences</t>
  </si>
  <si>
    <t>\cite{abbes2011empirical}</t>
  </si>
  <si>
    <t>Blob, Spaghetti Code</t>
  </si>
  <si>
    <t>Blob and Spaghetti Code</t>
  </si>
  <si>
    <t>\cite{yamashita2013exploring}</t>
  </si>
  <si>
    <t>\cite{yamashita2015inter}</t>
  </si>
  <si>
    <t>\cite{palomba2016diffusion}</t>
  </si>
  <si>
    <t>\cite{palomba2017investigating}</t>
  </si>
  <si>
    <t>\cite{palomba2018large}</t>
  </si>
  <si>
    <t>Speculative Generality, Spaghetti Code, Refused Parent Bequest, Middle Man, Message Chain, Long Parameter List, Long Method, Lazy Class, Inappropriate Intimacy, Feature Envy, Complex Class, Class Data Should Be Private, Blob</t>
  </si>
  <si>
    <t>Message Chain and Spaghetti Code, Message Chain and Complex Class, Message Chain and Blob, Message Chain and Refused Bequest, Long Method and Feature Envy, Long Method and Spaghetti Code</t>
  </si>
  <si>
    <t>\cite{martins2020code}</t>
  </si>
  <si>
    <t>\cite{fontana2015towards}</t>
  </si>
  <si>
    <t>\cite{ogenrwot2020comparison}</t>
  </si>
  <si>
    <t>Lazy Class, Large Class, Anti-Singleton, Blob, Swiss Army Knife, Refused Parent Bequest, Spaghetti Code, Message Chain, Many Field Attributes But Not Complex, Class Data Should Be Private, Speculative Generality, Base Class Should Be Abstract, Long Parameter List, Complex Class, Long Method</t>
  </si>
  <si>
    <t>\cite{muse2020prevalence}</t>
  </si>
  <si>
    <t>\cite{bessghaier2020diffusion}</t>
  </si>
  <si>
    <t>\cite{martins2021code}</t>
  </si>
  <si>
    <t>\cite{sobrinho2021interplay}</t>
  </si>
  <si>
    <t>Duplicate Code, Complex Class, Large Class</t>
  </si>
  <si>
    <t>DECOR, PMD</t>
  </si>
  <si>
    <t>Large Class and Complex Class</t>
  </si>
  <si>
    <t>\cite{hamdi2021empirical}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</si>
</sst>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1.0"/>
      <color rgb="FF000000"/>
      <name val="Inconsolata"/>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2" fontId="0" numFmtId="0" xfId="0" applyAlignment="1" applyFill="1" applyFont="1">
      <alignment shrinkToFit="0" wrapText="0"/>
    </xf>
    <xf borderId="0" fillId="0" fontId="1" numFmtId="0" xfId="0" applyAlignment="1" applyFont="1">
      <alignment shrinkToFit="0" wrapText="0"/>
    </xf>
    <xf borderId="0" fillId="2" fontId="3" numFmtId="0" xfId="0" applyAlignment="1" applyFont="1">
      <alignment shrinkToFit="0" wrapText="0"/>
    </xf>
    <xf borderId="0" fillId="2" fontId="4" numFmtId="0" xfId="0" applyAlignment="1" applyFont="1">
      <alignment horizontal="left" readingOrder="0" shrinkToFit="0" wrapText="0"/>
    </xf>
    <xf borderId="0" fillId="0" fontId="2" numFmtId="0" xfId="0" applyAlignment="1" applyFont="1">
      <alignment readingOrder="0"/>
    </xf>
    <xf borderId="0" fillId="2" fontId="0" numFmtId="0" xfId="0" applyFont="1"/>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0" fillId="0" fontId="5"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23.13"/>
    <col customWidth="1" min="3" max="3" width="22.75"/>
    <col customWidth="1" min="4" max="7" width="17.25"/>
    <col customWidth="1" min="8" max="8" width="25.88"/>
    <col customWidth="1" min="9" max="9" width="25.13"/>
    <col customWidth="1" min="10" max="10" width="15.75"/>
    <col customWidth="1" min="11" max="11" width="25.13"/>
    <col customWidth="1" min="13" max="13" width="20.13"/>
    <col customWidth="1" min="14" max="15" width="19.63"/>
    <col customWidth="1" min="16" max="16" width="19.75"/>
    <col customWidth="1" min="17" max="17" width="16.0"/>
    <col customWidth="1" min="18" max="18" width="19.0"/>
    <col customWidth="1" min="19" max="19" width="19.25"/>
    <col customWidth="1" min="20" max="20" width="20.5"/>
    <col customWidth="1" min="21" max="21" width="16.25"/>
    <col customWidth="1" min="22" max="22" width="21.75"/>
    <col customWidth="1" min="23" max="23" width="18.88"/>
    <col customWidth="1" min="24" max="24" width="20.13"/>
  </cols>
  <sheetData>
    <row r="1">
      <c r="A1" s="1" t="s">
        <v>0</v>
      </c>
      <c r="B1" s="1" t="s">
        <v>1</v>
      </c>
      <c r="C1" s="1" t="s">
        <v>2</v>
      </c>
      <c r="D1" s="1" t="s">
        <v>3</v>
      </c>
      <c r="E1" s="1" t="s">
        <v>4</v>
      </c>
      <c r="F1" s="1" t="s">
        <v>5</v>
      </c>
      <c r="G1" s="2"/>
      <c r="H1" s="1" t="s">
        <v>6</v>
      </c>
      <c r="I1" s="1" t="s">
        <v>7</v>
      </c>
      <c r="J1" s="1" t="s">
        <v>8</v>
      </c>
      <c r="K1" s="1" t="s">
        <v>9</v>
      </c>
      <c r="M1" s="1" t="s">
        <v>10</v>
      </c>
      <c r="N1" s="1" t="s">
        <v>11</v>
      </c>
      <c r="O1" s="1" t="s">
        <v>12</v>
      </c>
      <c r="P1" s="2"/>
      <c r="Q1" s="2"/>
      <c r="R1" s="2"/>
      <c r="S1" s="2"/>
      <c r="T1" s="2"/>
      <c r="U1" s="2"/>
      <c r="V1" s="2"/>
      <c r="W1" s="2"/>
      <c r="X1" s="2"/>
      <c r="Y1" s="1"/>
      <c r="Z1" s="2"/>
      <c r="AA1" s="2"/>
      <c r="AB1" s="2"/>
      <c r="AC1" s="2"/>
      <c r="AD1" s="2"/>
      <c r="AE1" s="2"/>
      <c r="AF1" s="2"/>
      <c r="AG1" s="2"/>
      <c r="AH1" s="2"/>
      <c r="AI1" s="2"/>
    </row>
    <row r="2">
      <c r="A2" s="3" t="s">
        <v>13</v>
      </c>
      <c r="B2" s="3" t="s">
        <v>14</v>
      </c>
      <c r="C2" s="3" t="s">
        <v>15</v>
      </c>
      <c r="D2" s="3" t="s">
        <v>16</v>
      </c>
      <c r="E2" s="2"/>
      <c r="F2" s="3" t="s">
        <v>17</v>
      </c>
      <c r="G2" s="2"/>
      <c r="H2" s="3" t="s">
        <v>18</v>
      </c>
      <c r="I2" s="3" t="s">
        <v>19</v>
      </c>
      <c r="J2" s="2">
        <f t="shared" ref="J2:J80" si="1">COUNTIF($C$2:$C1058, "*"&amp;H2&amp;"*")</f>
        <v>7</v>
      </c>
      <c r="K2" s="2" t="str">
        <f t="array" ref="K2">"""\cite{" &amp; TEXTJOIN(", ",TRUE,IF(ISNUMBER(SEARCH(H2,$C$2:$C1058)),$B$2:$B1058,"")) &amp; "}"""</f>
        <v>"\cite{yamashita2013exploring, yamashita2015inter, palomba2017investigating, palomba2018large, martins2020code, martins2021code, hamdi2021empirical}"</v>
      </c>
      <c r="M2" s="3" t="s">
        <v>16</v>
      </c>
      <c r="N2" s="4" t="str">
        <f t="array" ref="N2">"\cite{" &amp; TEXTJOIN(", ",TRUE,IF(ISNUMBER(SEARCH(M2,$D$2:$D1058)),$B$2:$B1058,"")) &amp; "}"</f>
        <v>\cite{abbes2011empirical, yamashita2013exploring, yamashita2015inter, palomba2016diffusion, palomba2017investigating, palomba2018large, martins2020code, fontana2015towards, ogenrwot2020comparison, muse2020prevalence, martins2021code, sobrinho2021interplay, hamdi2021empirical}</v>
      </c>
      <c r="O2" s="4">
        <f t="shared" ref="O2:O4" si="2">COUNTIF($D$2:$D1058, "*"&amp;M2&amp;"*")</f>
        <v>13</v>
      </c>
      <c r="P2" s="2"/>
      <c r="Q2" s="2"/>
      <c r="R2" s="2"/>
      <c r="S2" s="2"/>
      <c r="T2" s="2"/>
      <c r="U2" s="2"/>
      <c r="V2" s="2"/>
      <c r="W2" s="2"/>
      <c r="X2" s="2"/>
      <c r="Y2" s="5"/>
      <c r="Z2" s="2"/>
      <c r="AA2" s="2"/>
      <c r="AB2" s="2"/>
      <c r="AC2" s="2"/>
      <c r="AD2" s="2"/>
      <c r="AE2" s="2"/>
      <c r="AF2" s="2"/>
      <c r="AG2" s="2"/>
      <c r="AH2" s="2"/>
      <c r="AI2" s="2"/>
    </row>
    <row r="3">
      <c r="A3" s="3" t="s">
        <v>20</v>
      </c>
      <c r="B3" s="3" t="s">
        <v>21</v>
      </c>
      <c r="C3" s="3" t="s">
        <v>22</v>
      </c>
      <c r="D3" s="3" t="s">
        <v>16</v>
      </c>
      <c r="E3" s="2"/>
      <c r="F3" s="3" t="s">
        <v>23</v>
      </c>
      <c r="G3" s="2"/>
      <c r="H3" s="3" t="s">
        <v>24</v>
      </c>
      <c r="I3" s="3" t="s">
        <v>19</v>
      </c>
      <c r="J3" s="2">
        <f t="shared" si="1"/>
        <v>7</v>
      </c>
      <c r="K3" s="2" t="str">
        <f t="array" ref="K3">"""\cite{" &amp; TEXTJOIN(", ",TRUE,IF(ISNUMBER(SEARCH(H3,$C$2:$C1058)),$B$2:$B1058,"")) &amp; "}"""</f>
        <v>"\cite{palomba2017investigating, palomba2018large, martins2020code, ogenrwot2020comparison, muse2020prevalence, martins2021code, hamdi2021empirical}"</v>
      </c>
      <c r="M3" s="3" t="s">
        <v>25</v>
      </c>
      <c r="N3" s="4" t="str">
        <f t="array" ref="N3">"\cite{" &amp; TEXTJOIN(", ",TRUE,IF(ISNUMBER(SEARCH(M3,$D$2:$D1058)),$B$2:$B1058,"")) &amp; "}"</f>
        <v>\cite{muse2020prevalence}</v>
      </c>
      <c r="O3" s="4">
        <f t="shared" si="2"/>
        <v>1</v>
      </c>
      <c r="P3" s="2"/>
      <c r="Q3" s="2"/>
      <c r="R3" s="2"/>
      <c r="S3" s="2"/>
      <c r="T3" s="2"/>
      <c r="U3" s="2"/>
      <c r="V3" s="2"/>
      <c r="W3" s="2"/>
      <c r="X3" s="2"/>
      <c r="Y3" s="5"/>
      <c r="Z3" s="2"/>
      <c r="AA3" s="2"/>
      <c r="AB3" s="2"/>
      <c r="AC3" s="2"/>
      <c r="AD3" s="2"/>
      <c r="AE3" s="2"/>
      <c r="AF3" s="2"/>
      <c r="AG3" s="2"/>
      <c r="AH3" s="2"/>
      <c r="AI3" s="2"/>
    </row>
    <row r="4">
      <c r="A4" s="3" t="s">
        <v>26</v>
      </c>
      <c r="B4" s="3" t="s">
        <v>27</v>
      </c>
      <c r="C4" s="3" t="s">
        <v>28</v>
      </c>
      <c r="D4" s="3" t="s">
        <v>16</v>
      </c>
      <c r="E4" s="2"/>
      <c r="F4" s="3" t="s">
        <v>29</v>
      </c>
      <c r="G4" s="2"/>
      <c r="H4" s="3" t="s">
        <v>30</v>
      </c>
      <c r="I4" s="3" t="s">
        <v>19</v>
      </c>
      <c r="J4" s="2">
        <f t="shared" si="1"/>
        <v>7</v>
      </c>
      <c r="K4" s="2" t="str">
        <f t="array" ref="K4">"""\cite{" &amp; TEXTJOIN(", ",TRUE,IF(ISNUMBER(SEARCH(H4,$C$2:$C1058)),$B$2:$B1058,"")) &amp; "}"""</f>
        <v>"\cite{yamashita2013exploring, yamashita2015inter, palomba2017investigating, palomba2018large, martins2020code, ogenrwot2020comparison, hamdi2021empirical}"</v>
      </c>
      <c r="M4" s="3" t="s">
        <v>31</v>
      </c>
      <c r="N4" s="4" t="str">
        <f t="array" ref="N4">"\cite{" &amp; TEXTJOIN(", ",TRUE,IF(ISNUMBER(SEARCH(M4,$D$2:$D1058)),$B$2:$B1058,"")) &amp; "}"</f>
        <v>\cite{bessghaier2020diffusion}</v>
      </c>
      <c r="O4" s="4">
        <f t="shared" si="2"/>
        <v>1</v>
      </c>
      <c r="P4" s="2"/>
      <c r="Q4" s="2"/>
      <c r="R4" s="2"/>
      <c r="S4" s="2"/>
      <c r="T4" s="2"/>
      <c r="U4" s="2"/>
      <c r="V4" s="2"/>
      <c r="W4" s="2"/>
      <c r="X4" s="2"/>
      <c r="Y4" s="5"/>
      <c r="Z4" s="2"/>
      <c r="AA4" s="2"/>
      <c r="AB4" s="2"/>
      <c r="AC4" s="2"/>
      <c r="AD4" s="2"/>
      <c r="AE4" s="2"/>
      <c r="AF4" s="2"/>
      <c r="AG4" s="2"/>
      <c r="AH4" s="2"/>
      <c r="AI4" s="2"/>
    </row>
    <row r="5">
      <c r="A5" s="3" t="s">
        <v>32</v>
      </c>
      <c r="B5" s="3" t="s">
        <v>33</v>
      </c>
      <c r="C5" s="3" t="s">
        <v>34</v>
      </c>
      <c r="D5" s="3" t="s">
        <v>16</v>
      </c>
      <c r="E5" s="2"/>
      <c r="F5" s="3" t="s">
        <v>35</v>
      </c>
      <c r="G5" s="2"/>
      <c r="H5" s="3" t="s">
        <v>36</v>
      </c>
      <c r="I5" s="3" t="s">
        <v>19</v>
      </c>
      <c r="J5" s="2">
        <f t="shared" si="1"/>
        <v>6</v>
      </c>
      <c r="K5" s="2" t="str">
        <f t="array" ref="K5">"""\cite{" &amp; TEXTJOIN(", ",TRUE,IF(ISNUMBER(SEARCH(H5,$C$2:$C1058)),$B$2:$B1058,"")) &amp; "}"""</f>
        <v>"\cite{palomba2017investigating, palomba2018large, ogenrwot2020comparison, muse2020prevalence, sobrinho2021interplay, hamdi2021empirical}"</v>
      </c>
      <c r="M5" s="2"/>
      <c r="N5" s="2"/>
      <c r="O5" s="6"/>
      <c r="P5" s="2"/>
      <c r="Q5" s="2"/>
      <c r="R5" s="2"/>
      <c r="S5" s="2"/>
      <c r="T5" s="2"/>
      <c r="U5" s="2"/>
      <c r="V5" s="2"/>
      <c r="W5" s="2"/>
      <c r="X5" s="2"/>
      <c r="Y5" s="5"/>
      <c r="Z5" s="2"/>
      <c r="AA5" s="2"/>
      <c r="AB5" s="2"/>
      <c r="AC5" s="2"/>
      <c r="AD5" s="2"/>
      <c r="AE5" s="2"/>
      <c r="AF5" s="2"/>
      <c r="AG5" s="2"/>
      <c r="AH5" s="2"/>
      <c r="AI5" s="2"/>
    </row>
    <row r="6">
      <c r="A6" s="3" t="s">
        <v>37</v>
      </c>
      <c r="B6" s="3" t="s">
        <v>38</v>
      </c>
      <c r="C6" s="3" t="s">
        <v>39</v>
      </c>
      <c r="D6" s="3" t="s">
        <v>16</v>
      </c>
      <c r="E6" s="2"/>
      <c r="F6" s="3" t="s">
        <v>40</v>
      </c>
      <c r="G6" s="2"/>
      <c r="H6" s="3" t="s">
        <v>41</v>
      </c>
      <c r="I6" s="3" t="s">
        <v>19</v>
      </c>
      <c r="J6" s="2">
        <f t="shared" si="1"/>
        <v>6</v>
      </c>
      <c r="K6" s="2" t="str">
        <f t="array" ref="K6">"""\cite{" &amp; TEXTJOIN(", ",TRUE,IF(ISNUMBER(SEARCH(H6,$C$2:$C1058)),$B$2:$B1058,"")) &amp; "}"""</f>
        <v>"\cite{yamashita2013exploring, yamashita2015inter, palomba2017investigating, martins2020code, fontana2015towards, martins2021code}"</v>
      </c>
      <c r="M6" s="2"/>
      <c r="N6" s="2"/>
      <c r="O6" s="2"/>
      <c r="P6" s="2"/>
      <c r="Q6" s="2"/>
      <c r="R6" s="2"/>
      <c r="S6" s="2"/>
      <c r="T6" s="2"/>
      <c r="U6" s="2"/>
      <c r="V6" s="2"/>
      <c r="W6" s="2"/>
      <c r="X6" s="2"/>
      <c r="Y6" s="5"/>
      <c r="Z6" s="2"/>
      <c r="AA6" s="2"/>
      <c r="AB6" s="2"/>
      <c r="AC6" s="2"/>
      <c r="AD6" s="2"/>
      <c r="AE6" s="2"/>
      <c r="AF6" s="2"/>
      <c r="AG6" s="2"/>
      <c r="AH6" s="2"/>
      <c r="AI6" s="2"/>
    </row>
    <row r="7">
      <c r="A7" s="3" t="s">
        <v>42</v>
      </c>
      <c r="B7" s="3" t="s">
        <v>43</v>
      </c>
      <c r="C7" s="3" t="s">
        <v>44</v>
      </c>
      <c r="D7" s="3" t="s">
        <v>16</v>
      </c>
      <c r="E7" s="2"/>
      <c r="F7" s="3" t="s">
        <v>45</v>
      </c>
      <c r="G7" s="2"/>
      <c r="H7" s="3" t="s">
        <v>46</v>
      </c>
      <c r="I7" s="3" t="s">
        <v>19</v>
      </c>
      <c r="J7" s="2">
        <f t="shared" si="1"/>
        <v>6</v>
      </c>
      <c r="K7" s="2" t="str">
        <f t="array" ref="K7">"""\cite{" &amp; TEXTJOIN(", ",TRUE,IF(ISNUMBER(SEARCH(H7,$C$2:$C1058)),$B$2:$B1058,"")) &amp; "}"""</f>
        <v>"\cite{yamashita2015inter, palomba2017investigating, palomba2018large, fontana2015towards, ogenrwot2020comparison, hamdi2021empirical}"</v>
      </c>
      <c r="M7" s="2"/>
      <c r="N7" s="2"/>
      <c r="O7" s="2"/>
      <c r="P7" s="2"/>
      <c r="Q7" s="2"/>
      <c r="R7" s="2"/>
      <c r="S7" s="2"/>
      <c r="T7" s="2"/>
      <c r="U7" s="2"/>
      <c r="V7" s="2"/>
      <c r="W7" s="2"/>
      <c r="X7" s="2"/>
      <c r="Y7" s="5"/>
      <c r="Z7" s="2"/>
      <c r="AA7" s="2"/>
      <c r="AB7" s="2"/>
      <c r="AC7" s="2"/>
      <c r="AD7" s="2"/>
      <c r="AE7" s="2"/>
      <c r="AF7" s="2"/>
      <c r="AG7" s="2"/>
      <c r="AH7" s="2"/>
      <c r="AI7" s="2"/>
    </row>
    <row r="8">
      <c r="A8" s="3" t="s">
        <v>47</v>
      </c>
      <c r="B8" s="3" t="s">
        <v>48</v>
      </c>
      <c r="C8" s="7" t="s">
        <v>49</v>
      </c>
      <c r="D8" s="3" t="s">
        <v>16</v>
      </c>
      <c r="E8" s="2"/>
      <c r="F8" s="3" t="s">
        <v>50</v>
      </c>
      <c r="G8" s="2"/>
      <c r="H8" s="3" t="s">
        <v>51</v>
      </c>
      <c r="I8" s="3" t="s">
        <v>19</v>
      </c>
      <c r="J8" s="2">
        <f t="shared" si="1"/>
        <v>5</v>
      </c>
      <c r="K8" s="2" t="str">
        <f t="array" ref="K8">"""\cite{" &amp; TEXTJOIN(", ",TRUE,IF(ISNUMBER(SEARCH(H8,$C$2:$C1058)),$B$2:$B1058,"")) &amp; "}"""</f>
        <v>"\cite{palomba2017investigating, palomba2018large, ogenrwot2020comparison, muse2020prevalence, hamdi2021empirical}"</v>
      </c>
      <c r="M8" s="2"/>
      <c r="N8" s="2"/>
      <c r="O8" s="2"/>
      <c r="P8" s="2"/>
      <c r="Q8" s="2"/>
      <c r="R8" s="2"/>
      <c r="S8" s="2"/>
      <c r="T8" s="2"/>
      <c r="U8" s="2"/>
      <c r="V8" s="2"/>
      <c r="W8" s="2"/>
      <c r="X8" s="2"/>
      <c r="Y8" s="5"/>
      <c r="Z8" s="2"/>
      <c r="AA8" s="2"/>
      <c r="AB8" s="2"/>
      <c r="AC8" s="2"/>
      <c r="AD8" s="2"/>
      <c r="AE8" s="2"/>
      <c r="AF8" s="2"/>
      <c r="AG8" s="2"/>
      <c r="AH8" s="2"/>
      <c r="AI8" s="2"/>
    </row>
    <row r="9">
      <c r="A9" s="3" t="s">
        <v>52</v>
      </c>
      <c r="B9" s="3" t="s">
        <v>53</v>
      </c>
      <c r="C9" s="7" t="s">
        <v>54</v>
      </c>
      <c r="D9" s="3" t="s">
        <v>16</v>
      </c>
      <c r="E9" s="2"/>
      <c r="F9" s="3" t="s">
        <v>55</v>
      </c>
      <c r="G9" s="2"/>
      <c r="H9" s="3" t="s">
        <v>56</v>
      </c>
      <c r="I9" s="3" t="s">
        <v>19</v>
      </c>
      <c r="J9" s="2">
        <f t="shared" si="1"/>
        <v>5</v>
      </c>
      <c r="K9" s="2" t="str">
        <f t="array" ref="K9">"""\cite{" &amp; TEXTJOIN(", ",TRUE,IF(ISNUMBER(SEARCH(H9,$C$2:$C1058)),$B$2:$B1058,"")) &amp; "}"""</f>
        <v>"\cite{yamashita2013exploring, yamashita2015inter, martins2020code, fontana2015towards, martins2021code}"</v>
      </c>
      <c r="M9" s="2"/>
      <c r="N9" s="2"/>
      <c r="O9" s="2"/>
      <c r="P9" s="2"/>
      <c r="Q9" s="2"/>
      <c r="R9" s="2"/>
      <c r="S9" s="2"/>
      <c r="T9" s="2"/>
      <c r="U9" s="2"/>
      <c r="V9" s="2"/>
      <c r="W9" s="2"/>
      <c r="X9" s="2"/>
      <c r="Y9" s="5"/>
      <c r="Z9" s="2"/>
      <c r="AA9" s="2"/>
      <c r="AB9" s="2"/>
      <c r="AC9" s="2"/>
      <c r="AD9" s="2"/>
      <c r="AE9" s="2"/>
      <c r="AF9" s="2"/>
      <c r="AG9" s="2"/>
      <c r="AH9" s="2"/>
      <c r="AI9" s="2"/>
    </row>
    <row r="10">
      <c r="A10" s="3" t="s">
        <v>57</v>
      </c>
      <c r="B10" s="3" t="s">
        <v>58</v>
      </c>
      <c r="C10" s="7" t="s">
        <v>59</v>
      </c>
      <c r="D10" s="3" t="s">
        <v>16</v>
      </c>
      <c r="E10" s="3" t="s">
        <v>60</v>
      </c>
      <c r="F10" s="3" t="s">
        <v>61</v>
      </c>
      <c r="G10" s="2"/>
      <c r="H10" s="3" t="s">
        <v>62</v>
      </c>
      <c r="I10" s="3" t="s">
        <v>19</v>
      </c>
      <c r="J10" s="2">
        <f t="shared" si="1"/>
        <v>5</v>
      </c>
      <c r="K10" s="2" t="str">
        <f t="array" ref="K10">"""\cite{" &amp; TEXTJOIN(", ",TRUE,IF(ISNUMBER(SEARCH(H10,$C$2:$C1058)),$B$2:$B1058,"")) &amp; "}"""</f>
        <v>"\cite{abbes2011empirical, palomba2017investigating, palomba2018large, ogenrwot2020comparison, hamdi2021empirical}"</v>
      </c>
      <c r="M10" s="2"/>
      <c r="N10" s="2"/>
      <c r="O10" s="2"/>
      <c r="P10" s="2"/>
      <c r="Q10" s="2"/>
      <c r="R10" s="2"/>
      <c r="S10" s="2"/>
      <c r="T10" s="2"/>
      <c r="U10" s="2"/>
      <c r="V10" s="2"/>
      <c r="W10" s="2"/>
      <c r="X10" s="2"/>
      <c r="Y10" s="5"/>
      <c r="Z10" s="2"/>
      <c r="AA10" s="2"/>
      <c r="AB10" s="2"/>
      <c r="AC10" s="2"/>
      <c r="AD10" s="2"/>
      <c r="AE10" s="2"/>
      <c r="AF10" s="2"/>
      <c r="AG10" s="2"/>
      <c r="AH10" s="2"/>
      <c r="AI10" s="2"/>
    </row>
    <row r="11">
      <c r="A11" s="3" t="s">
        <v>63</v>
      </c>
      <c r="B11" s="3" t="s">
        <v>64</v>
      </c>
      <c r="C11" s="3" t="s">
        <v>65</v>
      </c>
      <c r="D11" s="3" t="s">
        <v>66</v>
      </c>
      <c r="E11" s="3" t="s">
        <v>60</v>
      </c>
      <c r="F11" s="3" t="s">
        <v>67</v>
      </c>
      <c r="G11" s="2"/>
      <c r="H11" s="3" t="s">
        <v>68</v>
      </c>
      <c r="I11" s="3" t="s">
        <v>19</v>
      </c>
      <c r="J11" s="2">
        <f t="shared" si="1"/>
        <v>4</v>
      </c>
      <c r="K11" s="2" t="str">
        <f t="array" ref="K11">"""\cite{" &amp; TEXTJOIN(", ",TRUE,IF(ISNUMBER(SEARCH(H11,$C$2:$C1058)),$B$2:$B1058,"")) &amp; "}"""</f>
        <v>"\cite{palomba2017investigating, palomba2018large, ogenrwot2020comparison, hamdi2021empirical}"</v>
      </c>
      <c r="M11" s="2"/>
      <c r="N11" s="2"/>
      <c r="O11" s="2"/>
      <c r="P11" s="2"/>
      <c r="Q11" s="2"/>
      <c r="R11" s="2"/>
      <c r="S11" s="2"/>
      <c r="T11" s="2"/>
      <c r="U11" s="2"/>
      <c r="V11" s="2"/>
      <c r="W11" s="2"/>
      <c r="X11" s="2"/>
      <c r="Y11" s="5"/>
      <c r="Z11" s="2"/>
      <c r="AA11" s="2"/>
      <c r="AB11" s="2"/>
      <c r="AC11" s="2"/>
      <c r="AD11" s="2"/>
      <c r="AE11" s="2"/>
      <c r="AF11" s="2"/>
      <c r="AG11" s="2"/>
      <c r="AH11" s="2"/>
      <c r="AI11" s="2"/>
    </row>
    <row r="12">
      <c r="A12" s="3" t="s">
        <v>69</v>
      </c>
      <c r="B12" s="3" t="s">
        <v>70</v>
      </c>
      <c r="C12" s="7" t="s">
        <v>71</v>
      </c>
      <c r="D12" s="3" t="s">
        <v>31</v>
      </c>
      <c r="E12" s="2"/>
      <c r="F12" s="3" t="s">
        <v>72</v>
      </c>
      <c r="G12" s="2"/>
      <c r="H12" s="3" t="s">
        <v>73</v>
      </c>
      <c r="I12" s="3" t="s">
        <v>19</v>
      </c>
      <c r="J12" s="2">
        <f t="shared" si="1"/>
        <v>4</v>
      </c>
      <c r="K12" s="2" t="str">
        <f t="array" ref="K12">"""\cite{" &amp; TEXTJOIN(", ",TRUE,IF(ISNUMBER(SEARCH(H12,$C$2:$C1058)),$B$2:$B1058,"")) &amp; "}"""</f>
        <v>"\cite{palomba2017investigating, palomba2018large, ogenrwot2020comparison, hamdi2021empirical}"</v>
      </c>
      <c r="M12" s="2"/>
      <c r="N12" s="2"/>
      <c r="O12" s="2"/>
      <c r="P12" s="2"/>
      <c r="Q12" s="2"/>
      <c r="R12" s="2"/>
      <c r="S12" s="2"/>
      <c r="T12" s="2"/>
      <c r="U12" s="2"/>
      <c r="V12" s="2"/>
      <c r="W12" s="2"/>
      <c r="X12" s="2"/>
      <c r="Y12" s="5"/>
      <c r="Z12" s="2"/>
      <c r="AA12" s="2"/>
      <c r="AB12" s="2"/>
      <c r="AC12" s="2"/>
      <c r="AD12" s="2"/>
      <c r="AE12" s="2"/>
      <c r="AF12" s="2"/>
      <c r="AG12" s="2"/>
      <c r="AH12" s="2"/>
      <c r="AI12" s="2"/>
    </row>
    <row r="13">
      <c r="A13" s="3" t="s">
        <v>74</v>
      </c>
      <c r="B13" s="3" t="s">
        <v>75</v>
      </c>
      <c r="C13" s="7" t="s">
        <v>76</v>
      </c>
      <c r="D13" s="3" t="s">
        <v>16</v>
      </c>
      <c r="E13" s="2"/>
      <c r="F13" s="3" t="s">
        <v>77</v>
      </c>
      <c r="G13" s="2"/>
      <c r="H13" s="3" t="s">
        <v>78</v>
      </c>
      <c r="I13" s="3" t="s">
        <v>19</v>
      </c>
      <c r="J13" s="2">
        <f t="shared" si="1"/>
        <v>3</v>
      </c>
      <c r="K13" s="2" t="str">
        <f t="array" ref="K13">"""\cite{" &amp; TEXTJOIN(", ",TRUE,IF(ISNUMBER(SEARCH(H13,$C$2:$C1058)),$B$2:$B1058,"")) &amp; "}"""</f>
        <v>"\cite{abbes2011empirical, palomba2018large, ogenrwot2020comparison}"</v>
      </c>
      <c r="M13" s="2"/>
      <c r="N13" s="2"/>
      <c r="O13" s="2"/>
      <c r="P13" s="2"/>
      <c r="Q13" s="2"/>
      <c r="R13" s="2"/>
      <c r="S13" s="2"/>
      <c r="T13" s="2"/>
      <c r="U13" s="2"/>
      <c r="V13" s="2"/>
      <c r="W13" s="2"/>
      <c r="X13" s="2"/>
      <c r="Y13" s="5"/>
      <c r="Z13" s="2"/>
      <c r="AA13" s="2"/>
      <c r="AB13" s="2"/>
      <c r="AC13" s="2"/>
      <c r="AD13" s="2"/>
      <c r="AE13" s="2"/>
      <c r="AF13" s="2"/>
      <c r="AG13" s="2"/>
      <c r="AH13" s="2"/>
      <c r="AI13" s="2"/>
    </row>
    <row r="14">
      <c r="A14" s="3" t="s">
        <v>79</v>
      </c>
      <c r="B14" s="3" t="s">
        <v>80</v>
      </c>
      <c r="C14" s="3" t="s">
        <v>81</v>
      </c>
      <c r="D14" s="3" t="s">
        <v>16</v>
      </c>
      <c r="E14" s="2"/>
      <c r="F14" s="3" t="s">
        <v>82</v>
      </c>
      <c r="G14" s="2"/>
      <c r="H14" s="3" t="s">
        <v>83</v>
      </c>
      <c r="I14" s="3" t="s">
        <v>19</v>
      </c>
      <c r="J14" s="2">
        <f t="shared" si="1"/>
        <v>3</v>
      </c>
      <c r="K14" s="2" t="str">
        <f t="array" ref="K14">"""\cite{" &amp; TEXTJOIN(", ",TRUE,IF(ISNUMBER(SEARCH(H14,$C$2:$C1058)),$B$2:$B1058,"")) &amp; "}"""</f>
        <v>"\cite{palomba2017investigating, palomba2018large, ogenrwot2020comparison}"</v>
      </c>
      <c r="M14" s="2"/>
      <c r="N14" s="2"/>
      <c r="O14" s="2"/>
      <c r="P14" s="2"/>
      <c r="Q14" s="2"/>
      <c r="R14" s="2"/>
      <c r="S14" s="2"/>
      <c r="T14" s="2"/>
      <c r="U14" s="2"/>
      <c r="V14" s="2"/>
      <c r="W14" s="2"/>
      <c r="X14" s="2"/>
      <c r="Y14" s="5"/>
      <c r="Z14" s="2"/>
      <c r="AA14" s="2"/>
      <c r="AB14" s="2"/>
      <c r="AC14" s="2"/>
      <c r="AD14" s="2"/>
      <c r="AE14" s="2"/>
      <c r="AF14" s="2"/>
      <c r="AG14" s="2"/>
      <c r="AH14" s="2"/>
      <c r="AI14" s="2"/>
    </row>
    <row r="15">
      <c r="A15" s="3" t="s">
        <v>84</v>
      </c>
      <c r="B15" s="3" t="s">
        <v>85</v>
      </c>
      <c r="C15" s="3" t="s">
        <v>86</v>
      </c>
      <c r="D15" s="3" t="s">
        <v>16</v>
      </c>
      <c r="E15" s="3" t="s">
        <v>87</v>
      </c>
      <c r="F15" s="3" t="s">
        <v>88</v>
      </c>
      <c r="G15" s="2"/>
      <c r="H15" s="3" t="s">
        <v>89</v>
      </c>
      <c r="I15" s="3" t="s">
        <v>19</v>
      </c>
      <c r="J15" s="2">
        <f t="shared" si="1"/>
        <v>3</v>
      </c>
      <c r="K15" s="2" t="str">
        <f t="array" ref="K15">"""\cite{" &amp; TEXTJOIN(", ",TRUE,IF(ISNUMBER(SEARCH(H15,$C$2:$C1058)),$B$2:$B1058,"")) &amp; "}"""</f>
        <v>"\cite{yamashita2013exploring, yamashita2015inter, fontana2015towards}"</v>
      </c>
      <c r="M15" s="2"/>
      <c r="N15" s="2"/>
      <c r="O15" s="2"/>
      <c r="P15" s="2"/>
      <c r="Q15" s="2"/>
      <c r="R15" s="2"/>
      <c r="S15" s="2"/>
      <c r="T15" s="2"/>
      <c r="U15" s="2"/>
      <c r="V15" s="2"/>
      <c r="W15" s="2"/>
      <c r="X15" s="2"/>
      <c r="Y15" s="5"/>
      <c r="Z15" s="2"/>
      <c r="AA15" s="2"/>
      <c r="AB15" s="2"/>
      <c r="AC15" s="2"/>
      <c r="AD15" s="2"/>
      <c r="AE15" s="2"/>
      <c r="AF15" s="2"/>
      <c r="AG15" s="2"/>
      <c r="AH15" s="2"/>
      <c r="AI15" s="2"/>
    </row>
    <row r="16">
      <c r="A16" s="3"/>
      <c r="B16" s="2"/>
      <c r="C16" s="2"/>
      <c r="D16" s="2"/>
      <c r="E16" s="2"/>
      <c r="F16" s="2"/>
      <c r="G16" s="2"/>
      <c r="H16" s="3" t="s">
        <v>90</v>
      </c>
      <c r="I16" s="3" t="s">
        <v>19</v>
      </c>
      <c r="J16" s="2">
        <f t="shared" si="1"/>
        <v>3</v>
      </c>
      <c r="K16" s="2" t="str">
        <f t="array" ref="K16">"""\cite{" &amp; TEXTJOIN(", ",TRUE,IF(ISNUMBER(SEARCH(H16,$C$2:$C1058)),$B$2:$B1058,"")) &amp; "}"""</f>
        <v>"\cite{martins2020code, fontana2015towards, martins2021code}"</v>
      </c>
      <c r="M16" s="2"/>
      <c r="N16" s="2"/>
      <c r="O16" s="2"/>
      <c r="P16" s="2"/>
      <c r="Q16" s="2"/>
      <c r="R16" s="2"/>
      <c r="S16" s="2"/>
      <c r="T16" s="2"/>
      <c r="U16" s="2"/>
      <c r="V16" s="2"/>
      <c r="W16" s="2"/>
      <c r="X16" s="2"/>
      <c r="Y16" s="5"/>
      <c r="Z16" s="2"/>
      <c r="AA16" s="2"/>
      <c r="AB16" s="2"/>
      <c r="AC16" s="2"/>
      <c r="AD16" s="2"/>
      <c r="AE16" s="2"/>
      <c r="AF16" s="2"/>
      <c r="AG16" s="2"/>
      <c r="AH16" s="2"/>
      <c r="AI16" s="2"/>
    </row>
    <row r="17">
      <c r="A17" s="3"/>
      <c r="B17" s="2"/>
      <c r="C17" s="2"/>
      <c r="D17" s="2"/>
      <c r="E17" s="2"/>
      <c r="F17" s="2"/>
      <c r="G17" s="2"/>
      <c r="H17" s="3" t="s">
        <v>91</v>
      </c>
      <c r="I17" s="3" t="s">
        <v>19</v>
      </c>
      <c r="J17" s="2">
        <f t="shared" si="1"/>
        <v>3</v>
      </c>
      <c r="K17" s="2" t="str">
        <f t="array" ref="K17">"""\cite{" &amp; TEXTJOIN(", ",TRUE,IF(ISNUMBER(SEARCH(H17,$C$2:$C1058)),$B$2:$B1058,"")) &amp; "}"""</f>
        <v>"\cite{yamashita2015inter, martins2020code, martins2021code}"</v>
      </c>
      <c r="M17" s="2"/>
      <c r="N17" s="2"/>
      <c r="O17" s="2"/>
      <c r="P17" s="2"/>
      <c r="Q17" s="2"/>
      <c r="R17" s="2"/>
      <c r="S17" s="2"/>
      <c r="T17" s="2"/>
      <c r="U17" s="2"/>
      <c r="V17" s="2"/>
      <c r="W17" s="2"/>
      <c r="X17" s="2"/>
      <c r="Y17" s="5"/>
      <c r="Z17" s="2"/>
      <c r="AA17" s="2"/>
      <c r="AB17" s="2"/>
      <c r="AC17" s="2"/>
      <c r="AD17" s="2"/>
      <c r="AE17" s="2"/>
      <c r="AF17" s="2"/>
      <c r="AG17" s="2"/>
      <c r="AH17" s="2"/>
      <c r="AI17" s="2"/>
    </row>
    <row r="18">
      <c r="A18" s="3"/>
      <c r="B18" s="2"/>
      <c r="C18" s="2"/>
      <c r="D18" s="2"/>
      <c r="E18" s="2"/>
      <c r="F18" s="2"/>
      <c r="G18" s="2"/>
      <c r="H18" s="3" t="s">
        <v>92</v>
      </c>
      <c r="I18" s="3" t="s">
        <v>19</v>
      </c>
      <c r="J18" s="2">
        <f t="shared" si="1"/>
        <v>2</v>
      </c>
      <c r="K18" s="2" t="str">
        <f t="array" ref="K18">"""\cite{" &amp; TEXTJOIN(", ",TRUE,IF(ISNUMBER(SEARCH(H18,$C$2:$C1058)),$B$2:$B1058,"")) &amp; "}"""</f>
        <v>"\cite{ogenrwot2020comparison, muse2020prevalence}"</v>
      </c>
      <c r="M18" s="2"/>
      <c r="N18" s="2"/>
      <c r="O18" s="2"/>
      <c r="P18" s="2"/>
      <c r="Q18" s="2"/>
      <c r="R18" s="2"/>
      <c r="S18" s="2"/>
      <c r="T18" s="2"/>
      <c r="U18" s="2"/>
      <c r="V18" s="2"/>
      <c r="W18" s="2"/>
      <c r="X18" s="2"/>
      <c r="Y18" s="5"/>
      <c r="Z18" s="2"/>
      <c r="AA18" s="2"/>
      <c r="AB18" s="2"/>
      <c r="AC18" s="2"/>
      <c r="AD18" s="2"/>
      <c r="AE18" s="2"/>
      <c r="AF18" s="2"/>
      <c r="AG18" s="2"/>
      <c r="AH18" s="2"/>
      <c r="AI18" s="2"/>
    </row>
    <row r="19">
      <c r="A19" s="3"/>
      <c r="B19" s="2"/>
      <c r="C19" s="2"/>
      <c r="D19" s="2"/>
      <c r="E19" s="2"/>
      <c r="F19" s="2"/>
      <c r="G19" s="2"/>
      <c r="H19" s="3" t="s">
        <v>93</v>
      </c>
      <c r="I19" s="3" t="s">
        <v>19</v>
      </c>
      <c r="J19" s="2">
        <f t="shared" si="1"/>
        <v>2</v>
      </c>
      <c r="K19" s="2" t="str">
        <f t="array" ref="K19">"""\cite{" &amp; TEXTJOIN(", ",TRUE,IF(ISNUMBER(SEARCH(H19,$C$2:$C1058)),$B$2:$B1058,"")) &amp; "}"""</f>
        <v>"\cite{yamashita2013exploring, yamashita2015inter}"</v>
      </c>
      <c r="M19" s="2"/>
      <c r="N19" s="2"/>
      <c r="O19" s="2"/>
      <c r="P19" s="2"/>
      <c r="Q19" s="2"/>
      <c r="R19" s="2"/>
      <c r="S19" s="2"/>
      <c r="T19" s="2"/>
      <c r="U19" s="2"/>
      <c r="V19" s="2"/>
      <c r="W19" s="2"/>
      <c r="X19" s="2"/>
      <c r="Y19" s="5"/>
      <c r="Z19" s="2"/>
      <c r="AA19" s="2"/>
      <c r="AB19" s="2"/>
      <c r="AC19" s="2"/>
      <c r="AD19" s="2"/>
      <c r="AE19" s="2"/>
      <c r="AF19" s="2"/>
      <c r="AG19" s="2"/>
      <c r="AH19" s="2"/>
      <c r="AI19" s="2"/>
    </row>
    <row r="20">
      <c r="A20" s="3"/>
      <c r="B20" s="2"/>
      <c r="C20" s="2"/>
      <c r="D20" s="2"/>
      <c r="E20" s="2"/>
      <c r="F20" s="2"/>
      <c r="G20" s="2"/>
      <c r="H20" s="3" t="s">
        <v>94</v>
      </c>
      <c r="I20" s="3" t="s">
        <v>19</v>
      </c>
      <c r="J20" s="2">
        <f t="shared" si="1"/>
        <v>2</v>
      </c>
      <c r="K20" s="2" t="str">
        <f t="array" ref="K20">"""\cite{" &amp; TEXTJOIN(", ",TRUE,IF(ISNUMBER(SEARCH(H20,$C$2:$C1058)),$B$2:$B1058,"")) &amp; "}"""</f>
        <v>"\cite{palomba2017investigating, palomba2018large}"</v>
      </c>
      <c r="M20" s="2"/>
      <c r="N20" s="2"/>
      <c r="O20" s="2"/>
      <c r="P20" s="2"/>
      <c r="Q20" s="2"/>
      <c r="R20" s="2"/>
      <c r="S20" s="2"/>
      <c r="T20" s="2"/>
      <c r="U20" s="2"/>
      <c r="V20" s="2"/>
      <c r="W20" s="2"/>
      <c r="X20" s="2"/>
      <c r="Y20" s="5"/>
      <c r="Z20" s="2"/>
      <c r="AA20" s="2"/>
      <c r="AB20" s="2"/>
      <c r="AC20" s="2"/>
      <c r="AD20" s="2"/>
      <c r="AE20" s="2"/>
      <c r="AF20" s="2"/>
      <c r="AG20" s="2"/>
      <c r="AH20" s="2"/>
      <c r="AI20" s="2"/>
    </row>
    <row r="21">
      <c r="A21" s="3"/>
      <c r="B21" s="2"/>
      <c r="C21" s="2"/>
      <c r="D21" s="2"/>
      <c r="E21" s="2"/>
      <c r="F21" s="2"/>
      <c r="G21" s="2"/>
      <c r="H21" s="3" t="s">
        <v>95</v>
      </c>
      <c r="I21" s="3" t="s">
        <v>19</v>
      </c>
      <c r="J21" s="2">
        <f t="shared" si="1"/>
        <v>2</v>
      </c>
      <c r="K21" s="2" t="str">
        <f t="array" ref="K21">"""\cite{" &amp; TEXTJOIN(", ",TRUE,IF(ISNUMBER(SEARCH(H21,$C$2:$C1058)),$B$2:$B1058,"")) &amp; "}"""</f>
        <v>"\cite{ogenrwot2020comparison, sobrinho2021interplay}"</v>
      </c>
      <c r="M21" s="2"/>
      <c r="N21" s="2"/>
      <c r="O21" s="2"/>
      <c r="P21" s="2"/>
      <c r="Q21" s="2"/>
      <c r="R21" s="2"/>
      <c r="S21" s="2"/>
      <c r="T21" s="2"/>
      <c r="U21" s="2"/>
      <c r="V21" s="2"/>
      <c r="W21" s="2"/>
      <c r="X21" s="2"/>
      <c r="Y21" s="5"/>
      <c r="Z21" s="2"/>
      <c r="AA21" s="2"/>
      <c r="AB21" s="2"/>
      <c r="AC21" s="2"/>
      <c r="AD21" s="2"/>
      <c r="AE21" s="2"/>
      <c r="AF21" s="2"/>
      <c r="AG21" s="2"/>
      <c r="AH21" s="2"/>
      <c r="AI21" s="2"/>
    </row>
    <row r="22">
      <c r="A22" s="3"/>
      <c r="B22" s="2"/>
      <c r="C22" s="2"/>
      <c r="D22" s="2"/>
      <c r="E22" s="2"/>
      <c r="F22" s="2"/>
      <c r="G22" s="2"/>
      <c r="H22" s="3" t="s">
        <v>96</v>
      </c>
      <c r="I22" s="3" t="s">
        <v>19</v>
      </c>
      <c r="J22" s="2">
        <f t="shared" si="1"/>
        <v>2</v>
      </c>
      <c r="K22" s="2" t="str">
        <f t="array" ref="K22">"""\cite{" &amp; TEXTJOIN(", ",TRUE,IF(ISNUMBER(SEARCH(H22,$C$2:$C1058)),$B$2:$B1058,"")) &amp; "}"""</f>
        <v>"\cite{palomba2017investigating, palomba2018large}"</v>
      </c>
      <c r="M22" s="2"/>
      <c r="N22" s="2"/>
      <c r="O22" s="2"/>
      <c r="P22" s="2"/>
      <c r="Q22" s="2"/>
      <c r="R22" s="2"/>
      <c r="S22" s="2"/>
      <c r="T22" s="2"/>
      <c r="U22" s="2"/>
      <c r="V22" s="2"/>
      <c r="W22" s="2"/>
      <c r="X22" s="2"/>
      <c r="Y22" s="5"/>
      <c r="Z22" s="2"/>
      <c r="AA22" s="2"/>
      <c r="AB22" s="2"/>
      <c r="AC22" s="2"/>
      <c r="AD22" s="2"/>
      <c r="AE22" s="2"/>
      <c r="AF22" s="2"/>
      <c r="AG22" s="2"/>
      <c r="AH22" s="2"/>
      <c r="AI22" s="2"/>
    </row>
    <row r="23">
      <c r="A23" s="3"/>
      <c r="B23" s="2"/>
      <c r="C23" s="2"/>
      <c r="D23" s="2"/>
      <c r="E23" s="2"/>
      <c r="F23" s="2"/>
      <c r="G23" s="2"/>
      <c r="H23" s="3" t="s">
        <v>97</v>
      </c>
      <c r="I23" s="3" t="s">
        <v>19</v>
      </c>
      <c r="J23" s="2">
        <f t="shared" si="1"/>
        <v>1</v>
      </c>
      <c r="K23" s="2" t="str">
        <f t="array" ref="K23">"""\cite{" &amp; TEXTJOIN(", ",TRUE,IF(ISNUMBER(SEARCH(H23,$C$2:$C1058)),$B$2:$B1058,"")) &amp; "}"""</f>
        <v>"\cite{ogenrwot2020comparison}"</v>
      </c>
      <c r="M23" s="2"/>
      <c r="N23" s="2"/>
      <c r="O23" s="2"/>
      <c r="P23" s="2"/>
      <c r="Q23" s="2"/>
      <c r="R23" s="2"/>
      <c r="S23" s="2"/>
      <c r="T23" s="2"/>
      <c r="U23" s="2"/>
      <c r="V23" s="2"/>
      <c r="W23" s="2"/>
      <c r="X23" s="2"/>
      <c r="Y23" s="5"/>
      <c r="Z23" s="2"/>
      <c r="AA23" s="2"/>
      <c r="AB23" s="2"/>
      <c r="AC23" s="2"/>
      <c r="AD23" s="2"/>
      <c r="AE23" s="2"/>
      <c r="AF23" s="2"/>
      <c r="AG23" s="2"/>
      <c r="AH23" s="2"/>
      <c r="AI23" s="2"/>
    </row>
    <row r="24">
      <c r="A24" s="3"/>
      <c r="B24" s="2"/>
      <c r="C24" s="2"/>
      <c r="D24" s="2"/>
      <c r="E24" s="2"/>
      <c r="F24" s="2"/>
      <c r="G24" s="2"/>
      <c r="H24" s="8" t="s">
        <v>98</v>
      </c>
      <c r="I24" s="3" t="s">
        <v>19</v>
      </c>
      <c r="J24" s="2">
        <f t="shared" si="1"/>
        <v>1</v>
      </c>
      <c r="K24" s="2" t="str">
        <f t="array" ref="K24">"""\cite{" &amp; TEXTJOIN(", ",TRUE,IF(ISNUMBER(SEARCH(H24,$C$2:$C1058)),$B$2:$B1058,"")) &amp; "}"""</f>
        <v>"\cite{hamdi2021empirical}"</v>
      </c>
      <c r="M24" s="2"/>
      <c r="N24" s="2"/>
      <c r="O24" s="2"/>
      <c r="P24" s="2"/>
      <c r="Q24" s="2"/>
      <c r="R24" s="2"/>
      <c r="S24" s="2"/>
      <c r="T24" s="2"/>
      <c r="U24" s="2"/>
      <c r="V24" s="2"/>
      <c r="W24" s="2"/>
      <c r="X24" s="2"/>
      <c r="Y24" s="5"/>
      <c r="Z24" s="2"/>
      <c r="AA24" s="2"/>
      <c r="AB24" s="2"/>
      <c r="AC24" s="2"/>
      <c r="AD24" s="2"/>
      <c r="AE24" s="2"/>
      <c r="AF24" s="2"/>
      <c r="AG24" s="2"/>
      <c r="AH24" s="2"/>
      <c r="AI24" s="2"/>
    </row>
    <row r="25">
      <c r="A25" s="3"/>
      <c r="B25" s="2"/>
      <c r="C25" s="2"/>
      <c r="D25" s="2"/>
      <c r="E25" s="2"/>
      <c r="F25" s="2"/>
      <c r="G25" s="2"/>
      <c r="H25" s="3" t="s">
        <v>99</v>
      </c>
      <c r="I25" s="3" t="s">
        <v>19</v>
      </c>
      <c r="J25" s="2">
        <f t="shared" si="1"/>
        <v>1</v>
      </c>
      <c r="K25" s="2" t="str">
        <f t="array" ref="K25">"""\cite{" &amp; TEXTJOIN(", ",TRUE,IF(ISNUMBER(SEARCH(H25,$C$2:$C1058)),$B$2:$B1058,"")) &amp; "}"""</f>
        <v>"\cite{yamashita2015inter}"</v>
      </c>
      <c r="M25" s="2"/>
      <c r="N25" s="2"/>
      <c r="O25" s="2"/>
      <c r="P25" s="2"/>
      <c r="Q25" s="2"/>
      <c r="R25" s="2"/>
      <c r="S25" s="2"/>
      <c r="T25" s="2"/>
      <c r="U25" s="2"/>
      <c r="V25" s="2"/>
      <c r="W25" s="2"/>
      <c r="X25" s="2"/>
      <c r="Y25" s="5"/>
      <c r="Z25" s="2"/>
      <c r="AA25" s="2"/>
      <c r="AB25" s="2"/>
      <c r="AC25" s="2"/>
      <c r="AD25" s="2"/>
      <c r="AE25" s="2"/>
      <c r="AF25" s="2"/>
      <c r="AG25" s="2"/>
      <c r="AH25" s="2"/>
      <c r="AI25" s="2"/>
    </row>
    <row r="26">
      <c r="A26" s="3"/>
      <c r="B26" s="2"/>
      <c r="C26" s="2"/>
      <c r="D26" s="2"/>
      <c r="E26" s="2"/>
      <c r="F26" s="2"/>
      <c r="G26" s="2"/>
      <c r="H26" s="3" t="s">
        <v>100</v>
      </c>
      <c r="I26" s="3" t="s">
        <v>19</v>
      </c>
      <c r="J26" s="2">
        <f t="shared" si="1"/>
        <v>1</v>
      </c>
      <c r="K26" s="2" t="str">
        <f t="array" ref="K26">"""\cite{" &amp; TEXTJOIN(", ",TRUE,IF(ISNUMBER(SEARCH(H26,$C$2:$C1058)),$B$2:$B1058,"")) &amp; "}"""</f>
        <v>"\cite{fontana2015towards}"</v>
      </c>
      <c r="M26" s="2"/>
      <c r="N26" s="2"/>
      <c r="O26" s="2"/>
      <c r="P26" s="2"/>
      <c r="Q26" s="2"/>
      <c r="R26" s="2"/>
      <c r="S26" s="2"/>
      <c r="T26" s="2"/>
      <c r="U26" s="2"/>
      <c r="V26" s="2"/>
      <c r="W26" s="2"/>
      <c r="X26" s="2"/>
      <c r="Y26" s="5"/>
      <c r="Z26" s="2"/>
      <c r="AA26" s="2"/>
      <c r="AB26" s="2"/>
      <c r="AC26" s="2"/>
      <c r="AD26" s="2"/>
      <c r="AE26" s="2"/>
      <c r="AF26" s="2"/>
      <c r="AG26" s="2"/>
      <c r="AH26" s="2"/>
      <c r="AI26" s="2"/>
    </row>
    <row r="27">
      <c r="A27" s="3"/>
      <c r="B27" s="2"/>
      <c r="C27" s="2"/>
      <c r="D27" s="2"/>
      <c r="E27" s="2"/>
      <c r="F27" s="2"/>
      <c r="G27" s="2"/>
      <c r="H27" s="3" t="s">
        <v>101</v>
      </c>
      <c r="I27" s="3" t="s">
        <v>19</v>
      </c>
      <c r="J27" s="2">
        <f t="shared" si="1"/>
        <v>1</v>
      </c>
      <c r="K27" s="2" t="str">
        <f t="array" ref="K27">"""\cite{" &amp; TEXTJOIN(", ",TRUE,IF(ISNUMBER(SEARCH(H27,$C$2:$C1058)),$B$2:$B1058,"")) &amp; "}"""</f>
        <v>"\cite{yamashita2015inter}"</v>
      </c>
      <c r="M27" s="2"/>
      <c r="N27" s="2"/>
      <c r="O27" s="2"/>
      <c r="P27" s="2"/>
      <c r="Q27" s="2"/>
      <c r="R27" s="2"/>
      <c r="S27" s="2"/>
      <c r="T27" s="2"/>
      <c r="U27" s="2"/>
      <c r="V27" s="2"/>
      <c r="W27" s="2"/>
      <c r="X27" s="2"/>
      <c r="Y27" s="5"/>
      <c r="Z27" s="2"/>
      <c r="AA27" s="2"/>
      <c r="AB27" s="2"/>
      <c r="AC27" s="2"/>
      <c r="AD27" s="2"/>
      <c r="AE27" s="2"/>
      <c r="AF27" s="2"/>
      <c r="AG27" s="2"/>
      <c r="AH27" s="2"/>
      <c r="AI27" s="2"/>
    </row>
    <row r="28">
      <c r="A28" s="3"/>
      <c r="B28" s="2"/>
      <c r="C28" s="2"/>
      <c r="D28" s="2"/>
      <c r="E28" s="2"/>
      <c r="F28" s="2"/>
      <c r="G28" s="2"/>
      <c r="H28" s="3" t="s">
        <v>102</v>
      </c>
      <c r="I28" s="3" t="s">
        <v>19</v>
      </c>
      <c r="J28" s="2">
        <f t="shared" si="1"/>
        <v>1</v>
      </c>
      <c r="K28" s="2" t="str">
        <f t="array" ref="K28">"""\cite{" &amp; TEXTJOIN(", ",TRUE,IF(ISNUMBER(SEARCH(H28,$C$2:$C1058)),$B$2:$B1058,"")) &amp; "}"""</f>
        <v>"\cite{yamashita2013exploring}"</v>
      </c>
      <c r="M28" s="2"/>
      <c r="N28" s="2"/>
      <c r="O28" s="2"/>
      <c r="P28" s="2"/>
      <c r="Q28" s="2"/>
      <c r="R28" s="2"/>
      <c r="S28" s="2"/>
      <c r="T28" s="2"/>
      <c r="U28" s="2"/>
      <c r="V28" s="2"/>
      <c r="W28" s="2"/>
      <c r="X28" s="2"/>
      <c r="Y28" s="5"/>
      <c r="Z28" s="2"/>
      <c r="AA28" s="2"/>
      <c r="AB28" s="2"/>
      <c r="AC28" s="2"/>
      <c r="AD28" s="2"/>
      <c r="AE28" s="2"/>
      <c r="AF28" s="2"/>
      <c r="AG28" s="2"/>
      <c r="AH28" s="2"/>
      <c r="AI28" s="2"/>
    </row>
    <row r="29">
      <c r="A29" s="3"/>
      <c r="B29" s="2"/>
      <c r="C29" s="2"/>
      <c r="D29" s="2"/>
      <c r="E29" s="2"/>
      <c r="F29" s="2"/>
      <c r="G29" s="2"/>
      <c r="H29" s="3" t="s">
        <v>103</v>
      </c>
      <c r="I29" s="3" t="s">
        <v>19</v>
      </c>
      <c r="J29" s="2">
        <f t="shared" si="1"/>
        <v>1</v>
      </c>
      <c r="K29" s="2" t="str">
        <f t="array" ref="K29">"""\cite{" &amp; TEXTJOIN(", ",TRUE,IF(ISNUMBER(SEARCH(H29,$C$2:$C1058)),$B$2:$B1058,"")) &amp; "}"""</f>
        <v>"\cite{sobrinho2021interplay}"</v>
      </c>
      <c r="M29" s="2"/>
      <c r="N29" s="2"/>
      <c r="O29" s="2"/>
      <c r="P29" s="2"/>
      <c r="Q29" s="2"/>
      <c r="R29" s="2"/>
      <c r="S29" s="2"/>
      <c r="T29" s="2"/>
      <c r="U29" s="2"/>
      <c r="V29" s="2"/>
      <c r="W29" s="2"/>
      <c r="X29" s="2"/>
      <c r="Y29" s="5"/>
      <c r="Z29" s="2"/>
      <c r="AA29" s="2"/>
      <c r="AB29" s="2"/>
      <c r="AC29" s="2"/>
      <c r="AD29" s="2"/>
      <c r="AE29" s="2"/>
      <c r="AF29" s="2"/>
      <c r="AG29" s="2"/>
      <c r="AH29" s="2"/>
      <c r="AI29" s="2"/>
    </row>
    <row r="30">
      <c r="A30" s="3"/>
      <c r="B30" s="2"/>
      <c r="C30" s="2"/>
      <c r="D30" s="2"/>
      <c r="E30" s="2"/>
      <c r="F30" s="2"/>
      <c r="G30" s="2"/>
      <c r="H30" s="3" t="s">
        <v>104</v>
      </c>
      <c r="I30" s="3" t="s">
        <v>19</v>
      </c>
      <c r="J30" s="2">
        <f t="shared" si="1"/>
        <v>1</v>
      </c>
      <c r="K30" s="2" t="str">
        <f t="array" ref="K30">"""\cite{" &amp; TEXTJOIN(", ",TRUE,IF(ISNUMBER(SEARCH(H30,$C$2:$C1058)),$B$2:$B1058,"")) &amp; "}"""</f>
        <v>"\cite{bessghaier2020diffusion}"</v>
      </c>
      <c r="M30" s="2"/>
      <c r="N30" s="2"/>
      <c r="O30" s="2"/>
      <c r="P30" s="2"/>
      <c r="Q30" s="2"/>
      <c r="R30" s="2"/>
      <c r="S30" s="2"/>
      <c r="T30" s="2"/>
      <c r="U30" s="2"/>
      <c r="V30" s="2"/>
      <c r="W30" s="2"/>
      <c r="X30" s="2"/>
      <c r="Y30" s="5"/>
      <c r="Z30" s="2"/>
      <c r="AA30" s="2"/>
      <c r="AB30" s="2"/>
      <c r="AC30" s="2"/>
      <c r="AD30" s="2"/>
      <c r="AE30" s="2"/>
      <c r="AF30" s="2"/>
      <c r="AG30" s="2"/>
      <c r="AH30" s="2"/>
      <c r="AI30" s="2"/>
    </row>
    <row r="31">
      <c r="A31" s="3"/>
      <c r="B31" s="2"/>
      <c r="C31" s="2"/>
      <c r="D31" s="2"/>
      <c r="E31" s="2"/>
      <c r="F31" s="2"/>
      <c r="G31" s="2"/>
      <c r="H31" s="3" t="s">
        <v>105</v>
      </c>
      <c r="I31" s="3" t="s">
        <v>19</v>
      </c>
      <c r="J31" s="2">
        <f t="shared" si="1"/>
        <v>1</v>
      </c>
      <c r="K31" s="2" t="str">
        <f t="array" ref="K31">"""\cite{" &amp; TEXTJOIN(", ",TRUE,IF(ISNUMBER(SEARCH(H31,$C$2:$C1058)),$B$2:$B1058,"")) &amp; "}"""</f>
        <v>"\cite{bessghaier2020diffusion}"</v>
      </c>
      <c r="M31" s="2"/>
      <c r="N31" s="2"/>
      <c r="O31" s="2"/>
      <c r="P31" s="2"/>
      <c r="Q31" s="2"/>
      <c r="R31" s="2"/>
      <c r="S31" s="2"/>
      <c r="T31" s="2"/>
      <c r="U31" s="2"/>
      <c r="V31" s="2"/>
      <c r="W31" s="2"/>
      <c r="X31" s="2"/>
      <c r="Y31" s="5"/>
      <c r="Z31" s="2"/>
      <c r="AA31" s="2"/>
      <c r="AB31" s="2"/>
      <c r="AC31" s="2"/>
      <c r="AD31" s="2"/>
      <c r="AE31" s="2"/>
      <c r="AF31" s="2"/>
      <c r="AG31" s="2"/>
      <c r="AH31" s="2"/>
      <c r="AI31" s="2"/>
    </row>
    <row r="32">
      <c r="A32" s="3"/>
      <c r="B32" s="2"/>
      <c r="C32" s="2"/>
      <c r="D32" s="2"/>
      <c r="E32" s="2"/>
      <c r="F32" s="2"/>
      <c r="G32" s="2"/>
      <c r="H32" s="3" t="s">
        <v>106</v>
      </c>
      <c r="I32" s="3" t="s">
        <v>19</v>
      </c>
      <c r="J32" s="2">
        <f t="shared" si="1"/>
        <v>1</v>
      </c>
      <c r="K32" s="2" t="str">
        <f t="array" ref="K32">"""\cite{" &amp; TEXTJOIN(", ",TRUE,IF(ISNUMBER(SEARCH(H32,$C$2:$C1058)),$B$2:$B1058,"")) &amp; "}"""</f>
        <v>"\cite{bessghaier2020diffusion}"</v>
      </c>
      <c r="M32" s="2"/>
      <c r="N32" s="2"/>
      <c r="O32" s="2"/>
      <c r="P32" s="2"/>
      <c r="Q32" s="2"/>
      <c r="R32" s="2"/>
      <c r="S32" s="2"/>
      <c r="T32" s="2"/>
      <c r="U32" s="2"/>
      <c r="V32" s="2"/>
      <c r="W32" s="2"/>
      <c r="X32" s="2"/>
      <c r="Y32" s="5"/>
      <c r="Z32" s="2"/>
      <c r="AA32" s="2"/>
      <c r="AB32" s="2"/>
      <c r="AC32" s="2"/>
      <c r="AD32" s="2"/>
      <c r="AE32" s="2"/>
      <c r="AF32" s="2"/>
      <c r="AG32" s="2"/>
      <c r="AH32" s="2"/>
      <c r="AI32" s="2"/>
    </row>
    <row r="33">
      <c r="A33" s="3"/>
      <c r="B33" s="2"/>
      <c r="C33" s="2"/>
      <c r="D33" s="2"/>
      <c r="E33" s="2"/>
      <c r="F33" s="2"/>
      <c r="G33" s="2"/>
      <c r="H33" s="3" t="s">
        <v>107</v>
      </c>
      <c r="I33" s="3" t="s">
        <v>19</v>
      </c>
      <c r="J33" s="2">
        <f t="shared" si="1"/>
        <v>1</v>
      </c>
      <c r="K33" s="2" t="str">
        <f t="array" ref="K33">"""\cite{" &amp; TEXTJOIN(", ",TRUE,IF(ISNUMBER(SEARCH(H33,$C$2:$C1058)),$B$2:$B1058,"")) &amp; "}"""</f>
        <v>"\cite{bessghaier2020diffusion}"</v>
      </c>
      <c r="M33" s="2"/>
      <c r="N33" s="2"/>
      <c r="O33" s="2"/>
      <c r="P33" s="2"/>
      <c r="Q33" s="2"/>
      <c r="R33" s="2"/>
      <c r="S33" s="2"/>
      <c r="T33" s="2"/>
      <c r="U33" s="2"/>
      <c r="V33" s="2"/>
      <c r="W33" s="2"/>
      <c r="X33" s="2"/>
      <c r="Y33" s="5"/>
      <c r="Z33" s="2"/>
      <c r="AA33" s="2"/>
      <c r="AB33" s="2"/>
      <c r="AC33" s="2"/>
      <c r="AD33" s="2"/>
      <c r="AE33" s="2"/>
      <c r="AF33" s="2"/>
      <c r="AG33" s="2"/>
      <c r="AH33" s="2"/>
      <c r="AI33" s="2"/>
    </row>
    <row r="34">
      <c r="A34" s="3"/>
      <c r="B34" s="2"/>
      <c r="C34" s="2"/>
      <c r="D34" s="2"/>
      <c r="E34" s="2"/>
      <c r="F34" s="2"/>
      <c r="G34" s="2"/>
      <c r="H34" s="3" t="s">
        <v>108</v>
      </c>
      <c r="I34" s="3" t="s">
        <v>19</v>
      </c>
      <c r="J34" s="2">
        <f t="shared" si="1"/>
        <v>1</v>
      </c>
      <c r="K34" s="2" t="str">
        <f t="array" ref="K34">"""\cite{" &amp; TEXTJOIN(", ",TRUE,IF(ISNUMBER(SEARCH(H34,$C$2:$C1058)),$B$2:$B1058,"")) &amp; "}"""</f>
        <v>"\cite{bessghaier2020diffusion}"</v>
      </c>
      <c r="M34" s="2"/>
      <c r="N34" s="2"/>
      <c r="O34" s="2"/>
      <c r="P34" s="2"/>
      <c r="Q34" s="2"/>
      <c r="R34" s="2"/>
      <c r="S34" s="2"/>
      <c r="T34" s="2"/>
      <c r="U34" s="2"/>
      <c r="V34" s="2"/>
      <c r="W34" s="2"/>
      <c r="X34" s="2"/>
      <c r="Y34" s="5"/>
      <c r="Z34" s="2"/>
      <c r="AA34" s="2"/>
      <c r="AB34" s="2"/>
      <c r="AC34" s="2"/>
      <c r="AD34" s="2"/>
      <c r="AE34" s="2"/>
      <c r="AF34" s="2"/>
      <c r="AG34" s="2"/>
      <c r="AH34" s="2"/>
      <c r="AI34" s="2"/>
    </row>
    <row r="35">
      <c r="A35" s="3"/>
      <c r="B35" s="2"/>
      <c r="C35" s="2"/>
      <c r="D35" s="2"/>
      <c r="E35" s="2"/>
      <c r="F35" s="2"/>
      <c r="G35" s="2"/>
      <c r="H35" s="3" t="s">
        <v>109</v>
      </c>
      <c r="I35" s="3" t="s">
        <v>19</v>
      </c>
      <c r="J35" s="2">
        <f t="shared" si="1"/>
        <v>1</v>
      </c>
      <c r="K35" s="2" t="str">
        <f t="array" ref="K35">"""\cite{" &amp; TEXTJOIN(", ",TRUE,IF(ISNUMBER(SEARCH(H35,$C$2:$C1058)),$B$2:$B1058,"")) &amp; "}"""</f>
        <v>"\cite{bessghaier2020diffusion}"</v>
      </c>
      <c r="M35" s="2"/>
      <c r="N35" s="2"/>
      <c r="O35" s="2"/>
      <c r="P35" s="2"/>
      <c r="Q35" s="2"/>
      <c r="R35" s="2"/>
      <c r="S35" s="2"/>
      <c r="T35" s="2"/>
      <c r="U35" s="2"/>
      <c r="V35" s="2"/>
      <c r="W35" s="2"/>
      <c r="X35" s="2"/>
      <c r="Y35" s="5"/>
      <c r="Z35" s="2"/>
      <c r="AA35" s="2"/>
      <c r="AB35" s="2"/>
      <c r="AC35" s="2"/>
      <c r="AD35" s="2"/>
      <c r="AE35" s="2"/>
      <c r="AF35" s="2"/>
      <c r="AG35" s="2"/>
      <c r="AH35" s="2"/>
      <c r="AI35" s="2"/>
    </row>
    <row r="36">
      <c r="A36" s="3"/>
      <c r="B36" s="2"/>
      <c r="C36" s="2"/>
      <c r="D36" s="2"/>
      <c r="E36" s="2"/>
      <c r="F36" s="2"/>
      <c r="G36" s="2"/>
      <c r="H36" s="3" t="s">
        <v>110</v>
      </c>
      <c r="I36" s="3" t="s">
        <v>19</v>
      </c>
      <c r="J36" s="2">
        <f t="shared" si="1"/>
        <v>1</v>
      </c>
      <c r="K36" s="2" t="str">
        <f t="array" ref="K36">"""\cite{" &amp; TEXTJOIN(", ",TRUE,IF(ISNUMBER(SEARCH(H36,$C$2:$C1058)),$B$2:$B1058,"")) &amp; "}"""</f>
        <v>"\cite{yamashita2015inter}"</v>
      </c>
      <c r="M36" s="2"/>
      <c r="N36" s="2"/>
      <c r="O36" s="2"/>
      <c r="P36" s="2"/>
      <c r="Q36" s="2"/>
      <c r="R36" s="2"/>
      <c r="S36" s="2"/>
      <c r="T36" s="2"/>
      <c r="U36" s="2"/>
      <c r="V36" s="2"/>
      <c r="W36" s="2"/>
      <c r="X36" s="2"/>
      <c r="Y36" s="5"/>
      <c r="Z36" s="2"/>
      <c r="AA36" s="2"/>
      <c r="AB36" s="2"/>
      <c r="AC36" s="2"/>
      <c r="AD36" s="2"/>
      <c r="AE36" s="2"/>
      <c r="AF36" s="2"/>
      <c r="AG36" s="2"/>
      <c r="AH36" s="2"/>
      <c r="AI36" s="2"/>
    </row>
    <row r="37">
      <c r="A37" s="3"/>
      <c r="B37" s="2"/>
      <c r="C37" s="2"/>
      <c r="D37" s="2"/>
      <c r="E37" s="2"/>
      <c r="F37" s="2"/>
      <c r="G37" s="2"/>
      <c r="H37" s="3" t="s">
        <v>111</v>
      </c>
      <c r="I37" s="3" t="s">
        <v>19</v>
      </c>
      <c r="J37" s="2">
        <f t="shared" si="1"/>
        <v>1</v>
      </c>
      <c r="K37" s="2" t="str">
        <f t="array" ref="K37">"""\cite{" &amp; TEXTJOIN(", ",TRUE,IF(ISNUMBER(SEARCH(H37,$C$2:$C1058)),$B$2:$B1058,"")) &amp; "}"""</f>
        <v>"\cite{yamashita2013exploring}"</v>
      </c>
      <c r="M37" s="2"/>
      <c r="N37" s="2"/>
      <c r="O37" s="2"/>
      <c r="P37" s="2"/>
      <c r="Q37" s="2"/>
      <c r="R37" s="2"/>
      <c r="S37" s="2"/>
      <c r="T37" s="2"/>
      <c r="U37" s="2"/>
      <c r="V37" s="2"/>
      <c r="W37" s="2"/>
      <c r="X37" s="2"/>
      <c r="Y37" s="5"/>
      <c r="Z37" s="2"/>
      <c r="AA37" s="2"/>
      <c r="AB37" s="2"/>
      <c r="AC37" s="2"/>
      <c r="AD37" s="2"/>
      <c r="AE37" s="2"/>
      <c r="AF37" s="2"/>
      <c r="AG37" s="2"/>
      <c r="AH37" s="2"/>
      <c r="AI37" s="2"/>
    </row>
    <row r="38">
      <c r="A38" s="3"/>
      <c r="B38" s="2"/>
      <c r="C38" s="2"/>
      <c r="D38" s="2"/>
      <c r="E38" s="2"/>
      <c r="F38" s="2"/>
      <c r="G38" s="2"/>
      <c r="H38" s="3" t="s">
        <v>112</v>
      </c>
      <c r="I38" s="3" t="s">
        <v>19</v>
      </c>
      <c r="J38" s="2">
        <f t="shared" si="1"/>
        <v>1</v>
      </c>
      <c r="K38" s="2" t="str">
        <f t="array" ref="K38">"""\cite{" &amp; TEXTJOIN(", ",TRUE,IF(ISNUMBER(SEARCH(H38,$C$2:$C1058)),$B$2:$B1058,"")) &amp; "}"""</f>
        <v>"\cite{bessghaier2020diffusion}"</v>
      </c>
      <c r="M38" s="2"/>
      <c r="N38" s="2"/>
      <c r="O38" s="2"/>
      <c r="P38" s="2"/>
      <c r="Q38" s="2"/>
      <c r="R38" s="2"/>
      <c r="S38" s="2"/>
      <c r="T38" s="2"/>
      <c r="U38" s="2"/>
      <c r="V38" s="2"/>
      <c r="W38" s="2"/>
      <c r="X38" s="2"/>
      <c r="Y38" s="5"/>
      <c r="Z38" s="2"/>
      <c r="AA38" s="2"/>
      <c r="AB38" s="2"/>
      <c r="AC38" s="2"/>
      <c r="AD38" s="2"/>
      <c r="AE38" s="2"/>
      <c r="AF38" s="2"/>
      <c r="AG38" s="2"/>
      <c r="AH38" s="2"/>
      <c r="AI38" s="2"/>
    </row>
    <row r="39">
      <c r="A39" s="3"/>
      <c r="B39" s="2"/>
      <c r="C39" s="2"/>
      <c r="D39" s="2"/>
      <c r="E39" s="2"/>
      <c r="F39" s="2"/>
      <c r="G39" s="2"/>
      <c r="H39" s="3" t="s">
        <v>113</v>
      </c>
      <c r="I39" s="3" t="s">
        <v>19</v>
      </c>
      <c r="J39" s="2">
        <f t="shared" si="1"/>
        <v>1</v>
      </c>
      <c r="K39" s="2" t="str">
        <f t="array" ref="K39">"""\cite{" &amp; TEXTJOIN(", ",TRUE,IF(ISNUMBER(SEARCH(H39,$C$2:$C1058)),$B$2:$B1058,"")) &amp; "}"""</f>
        <v>"\cite{bessghaier2020diffusion}"</v>
      </c>
      <c r="M39" s="2"/>
      <c r="N39" s="2"/>
      <c r="O39" s="2"/>
      <c r="P39" s="2"/>
      <c r="Q39" s="2"/>
      <c r="R39" s="2"/>
      <c r="S39" s="2"/>
      <c r="T39" s="2"/>
      <c r="U39" s="2"/>
      <c r="V39" s="2"/>
      <c r="W39" s="2"/>
      <c r="X39" s="2"/>
      <c r="Y39" s="5"/>
      <c r="Z39" s="2"/>
      <c r="AA39" s="2"/>
      <c r="AB39" s="2"/>
      <c r="AC39" s="2"/>
      <c r="AD39" s="2"/>
      <c r="AE39" s="2"/>
      <c r="AF39" s="2"/>
      <c r="AG39" s="2"/>
      <c r="AH39" s="2"/>
      <c r="AI39" s="2"/>
    </row>
    <row r="40">
      <c r="A40" s="3"/>
      <c r="B40" s="2"/>
      <c r="C40" s="2"/>
      <c r="D40" s="2"/>
      <c r="E40" s="2"/>
      <c r="F40" s="2"/>
      <c r="G40" s="2"/>
      <c r="H40" s="3" t="s">
        <v>114</v>
      </c>
      <c r="I40" s="3" t="s">
        <v>19</v>
      </c>
      <c r="J40" s="2">
        <f t="shared" si="1"/>
        <v>1</v>
      </c>
      <c r="K40" s="2" t="str">
        <f t="array" ref="K40">"""\cite{" &amp; TEXTJOIN(", ",TRUE,IF(ISNUMBER(SEARCH(H40,$C$2:$C1058)),$B$2:$B1058,"")) &amp; "}"""</f>
        <v>"\cite{bessghaier2020diffusion}"</v>
      </c>
      <c r="M40" s="2"/>
      <c r="N40" s="2"/>
      <c r="O40" s="2"/>
      <c r="P40" s="2"/>
      <c r="Q40" s="2"/>
      <c r="R40" s="2"/>
      <c r="S40" s="2"/>
      <c r="T40" s="2"/>
      <c r="U40" s="2"/>
      <c r="V40" s="2"/>
      <c r="W40" s="2"/>
      <c r="X40" s="2"/>
      <c r="Y40" s="5"/>
      <c r="Z40" s="2"/>
      <c r="AA40" s="2"/>
      <c r="AB40" s="2"/>
      <c r="AC40" s="2"/>
      <c r="AD40" s="2"/>
      <c r="AE40" s="2"/>
      <c r="AF40" s="2"/>
      <c r="AG40" s="2"/>
      <c r="AH40" s="2"/>
      <c r="AI40" s="2"/>
    </row>
    <row r="41">
      <c r="A41" s="3"/>
      <c r="B41" s="2"/>
      <c r="C41" s="2"/>
      <c r="D41" s="2"/>
      <c r="E41" s="2"/>
      <c r="F41" s="2"/>
      <c r="G41" s="2"/>
      <c r="H41" s="3" t="s">
        <v>115</v>
      </c>
      <c r="I41" s="3" t="s">
        <v>19</v>
      </c>
      <c r="J41" s="2">
        <f t="shared" si="1"/>
        <v>1</v>
      </c>
      <c r="K41" s="2" t="str">
        <f t="array" ref="K41">"""\cite{" &amp; TEXTJOIN(", ",TRUE,IF(ISNUMBER(SEARCH(H41,$C$2:$C1058)),$B$2:$B1058,"")) &amp; "}"""</f>
        <v>"\cite{bessghaier2020diffusion}"</v>
      </c>
      <c r="M41" s="2"/>
      <c r="N41" s="2"/>
      <c r="O41" s="2"/>
      <c r="P41" s="2"/>
      <c r="Q41" s="2"/>
      <c r="R41" s="2"/>
      <c r="S41" s="2"/>
      <c r="T41" s="2"/>
      <c r="U41" s="2"/>
      <c r="V41" s="2"/>
      <c r="W41" s="2"/>
      <c r="X41" s="2"/>
      <c r="Y41" s="5"/>
      <c r="Z41" s="2"/>
      <c r="AA41" s="2"/>
      <c r="AB41" s="2"/>
      <c r="AC41" s="2"/>
      <c r="AD41" s="2"/>
      <c r="AE41" s="2"/>
      <c r="AF41" s="2"/>
      <c r="AG41" s="2"/>
      <c r="AH41" s="2"/>
      <c r="AI41" s="2"/>
    </row>
    <row r="42">
      <c r="A42" s="3"/>
      <c r="B42" s="2"/>
      <c r="C42" s="2"/>
      <c r="D42" s="2"/>
      <c r="E42" s="2"/>
      <c r="F42" s="2"/>
      <c r="G42" s="2"/>
      <c r="H42" s="3" t="s">
        <v>116</v>
      </c>
      <c r="I42" s="3" t="s">
        <v>19</v>
      </c>
      <c r="J42" s="2">
        <f t="shared" si="1"/>
        <v>1</v>
      </c>
      <c r="K42" s="2" t="str">
        <f t="array" ref="K42">"""\cite{" &amp; TEXTJOIN(", ",TRUE,IF(ISNUMBER(SEARCH(H42,$C$2:$C1058)),$B$2:$B1058,"")) &amp; "}"""</f>
        <v>"\cite{yamashita2013exploring}"</v>
      </c>
      <c r="M42" s="2"/>
      <c r="N42" s="2"/>
      <c r="O42" s="2"/>
      <c r="P42" s="2"/>
      <c r="Q42" s="2"/>
      <c r="R42" s="2"/>
      <c r="S42" s="2"/>
      <c r="T42" s="2"/>
      <c r="U42" s="2"/>
      <c r="V42" s="2"/>
      <c r="W42" s="2"/>
      <c r="X42" s="2"/>
      <c r="Y42" s="5"/>
      <c r="Z42" s="2"/>
      <c r="AA42" s="2"/>
      <c r="AB42" s="2"/>
      <c r="AC42" s="2"/>
      <c r="AD42" s="2"/>
      <c r="AE42" s="2"/>
      <c r="AF42" s="2"/>
      <c r="AG42" s="2"/>
      <c r="AH42" s="2"/>
      <c r="AI42" s="2"/>
    </row>
    <row r="43">
      <c r="A43" s="3"/>
      <c r="B43" s="2"/>
      <c r="C43" s="2"/>
      <c r="D43" s="2"/>
      <c r="E43" s="2"/>
      <c r="F43" s="2"/>
      <c r="G43" s="2"/>
      <c r="H43" s="3" t="s">
        <v>117</v>
      </c>
      <c r="I43" s="3" t="s">
        <v>19</v>
      </c>
      <c r="J43" s="2">
        <f t="shared" si="1"/>
        <v>1</v>
      </c>
      <c r="K43" s="2" t="str">
        <f t="array" ref="K43">"""\cite{" &amp; TEXTJOIN(", ",TRUE,IF(ISNUMBER(SEARCH(H43,$C$2:$C1058)),$B$2:$B1058,"")) &amp; "}"""</f>
        <v>"\cite{yamashita2015inter}"</v>
      </c>
      <c r="M43" s="2"/>
      <c r="N43" s="2"/>
      <c r="O43" s="2"/>
      <c r="P43" s="2"/>
      <c r="Q43" s="2"/>
      <c r="R43" s="2"/>
      <c r="S43" s="2"/>
      <c r="T43" s="2"/>
      <c r="U43" s="2"/>
      <c r="V43" s="2"/>
      <c r="W43" s="2"/>
      <c r="X43" s="2"/>
      <c r="Y43" s="5"/>
      <c r="Z43" s="2"/>
      <c r="AA43" s="2"/>
      <c r="AB43" s="2"/>
      <c r="AC43" s="2"/>
      <c r="AD43" s="2"/>
      <c r="AE43" s="2"/>
      <c r="AF43" s="2"/>
      <c r="AG43" s="2"/>
      <c r="AH43" s="2"/>
      <c r="AI43" s="2"/>
    </row>
    <row r="44">
      <c r="A44" s="3"/>
      <c r="B44" s="2"/>
      <c r="C44" s="2"/>
      <c r="D44" s="2"/>
      <c r="E44" s="2"/>
      <c r="F44" s="2"/>
      <c r="G44" s="2"/>
      <c r="H44" s="3" t="s">
        <v>118</v>
      </c>
      <c r="I44" s="3" t="s">
        <v>19</v>
      </c>
      <c r="J44" s="2">
        <f t="shared" si="1"/>
        <v>1</v>
      </c>
      <c r="K44" s="2" t="str">
        <f t="array" ref="K44">"""\cite{" &amp; TEXTJOIN(", ",TRUE,IF(ISNUMBER(SEARCH(H44,$C$2:$C1058)),$B$2:$B1058,"")) &amp; "}"""</f>
        <v>"\cite{ogenrwot2020comparison}"</v>
      </c>
      <c r="M44" s="2"/>
      <c r="N44" s="2"/>
      <c r="O44" s="2"/>
      <c r="P44" s="2"/>
      <c r="Q44" s="2"/>
      <c r="R44" s="2"/>
      <c r="S44" s="2"/>
      <c r="T44" s="2"/>
      <c r="U44" s="2"/>
      <c r="V44" s="2"/>
      <c r="W44" s="2"/>
      <c r="X44" s="2"/>
      <c r="Y44" s="5"/>
      <c r="Z44" s="2"/>
      <c r="AA44" s="2"/>
      <c r="AB44" s="2"/>
      <c r="AC44" s="2"/>
      <c r="AD44" s="2"/>
      <c r="AE44" s="2"/>
      <c r="AF44" s="2"/>
      <c r="AG44" s="2"/>
      <c r="AH44" s="2"/>
      <c r="AI44" s="2"/>
    </row>
    <row r="45">
      <c r="A45" s="3"/>
      <c r="B45" s="2"/>
      <c r="C45" s="2"/>
      <c r="D45" s="2"/>
      <c r="E45" s="2"/>
      <c r="F45" s="2"/>
      <c r="G45" s="2"/>
      <c r="H45" s="3" t="s">
        <v>119</v>
      </c>
      <c r="I45" s="3" t="s">
        <v>19</v>
      </c>
      <c r="J45" s="2">
        <f t="shared" si="1"/>
        <v>1</v>
      </c>
      <c r="K45" s="2" t="str">
        <f t="array" ref="K45">"""\cite{" &amp; TEXTJOIN(", ",TRUE,IF(ISNUMBER(SEARCH(H45,$C$2:$C1058)),$B$2:$B1058,"")) &amp; "}"""</f>
        <v>"\cite{yamashita2013exploring}"</v>
      </c>
      <c r="M45" s="2"/>
      <c r="N45" s="2"/>
      <c r="O45" s="2"/>
      <c r="P45" s="2"/>
      <c r="Q45" s="2"/>
      <c r="R45" s="2"/>
      <c r="S45" s="2"/>
      <c r="T45" s="2"/>
      <c r="U45" s="2"/>
      <c r="V45" s="2"/>
      <c r="W45" s="2"/>
      <c r="X45" s="2"/>
      <c r="Y45" s="5"/>
      <c r="Z45" s="2"/>
      <c r="AA45" s="2"/>
      <c r="AB45" s="2"/>
      <c r="AC45" s="2"/>
      <c r="AD45" s="2"/>
      <c r="AE45" s="2"/>
      <c r="AF45" s="2"/>
      <c r="AG45" s="2"/>
      <c r="AH45" s="2"/>
      <c r="AI45" s="2"/>
    </row>
    <row r="46">
      <c r="A46" s="3"/>
      <c r="B46" s="2"/>
      <c r="C46" s="2"/>
      <c r="D46" s="2"/>
      <c r="E46" s="2"/>
      <c r="F46" s="2"/>
      <c r="G46" s="2"/>
      <c r="H46" s="3" t="s">
        <v>120</v>
      </c>
      <c r="I46" s="3" t="s">
        <v>19</v>
      </c>
      <c r="J46" s="2">
        <f t="shared" si="1"/>
        <v>1</v>
      </c>
      <c r="K46" s="2" t="str">
        <f t="array" ref="K46">"""\cite{" &amp; TEXTJOIN(", ",TRUE,IF(ISNUMBER(SEARCH(H46,$C$2:$C1058)),$B$2:$B1058,"")) &amp; "}"""</f>
        <v>"\cite{yamashita2015inter}"</v>
      </c>
      <c r="M46" s="2"/>
      <c r="N46" s="2"/>
      <c r="O46" s="2"/>
      <c r="P46" s="2"/>
      <c r="Q46" s="2"/>
      <c r="R46" s="2"/>
      <c r="S46" s="2"/>
      <c r="T46" s="2"/>
      <c r="U46" s="2"/>
      <c r="V46" s="2"/>
      <c r="W46" s="2"/>
      <c r="X46" s="2"/>
      <c r="Y46" s="5"/>
      <c r="Z46" s="2"/>
      <c r="AA46" s="2"/>
      <c r="AB46" s="2"/>
      <c r="AC46" s="2"/>
      <c r="AD46" s="2"/>
      <c r="AE46" s="2"/>
      <c r="AF46" s="2"/>
      <c r="AG46" s="2"/>
      <c r="AH46" s="2"/>
      <c r="AI46" s="2"/>
    </row>
    <row r="47">
      <c r="A47" s="3"/>
      <c r="B47" s="2"/>
      <c r="C47" s="2"/>
      <c r="D47" s="2"/>
      <c r="E47" s="2"/>
      <c r="F47" s="2"/>
      <c r="G47" s="2"/>
      <c r="H47" s="3" t="s">
        <v>121</v>
      </c>
      <c r="I47" s="3" t="s">
        <v>19</v>
      </c>
      <c r="J47" s="2">
        <f t="shared" si="1"/>
        <v>1</v>
      </c>
      <c r="K47" s="2" t="str">
        <f t="array" ref="K47">"""\cite{" &amp; TEXTJOIN(", ",TRUE,IF(ISNUMBER(SEARCH(H47,$C$2:$C1058)),$B$2:$B1058,"")) &amp; "}"""</f>
        <v>"\cite{yamashita2015inter}"</v>
      </c>
      <c r="M47" s="2"/>
      <c r="N47" s="2"/>
      <c r="O47" s="2"/>
      <c r="P47" s="2"/>
      <c r="Q47" s="2"/>
      <c r="R47" s="2"/>
      <c r="S47" s="2"/>
      <c r="T47" s="2"/>
      <c r="U47" s="2"/>
      <c r="V47" s="2"/>
      <c r="W47" s="2"/>
      <c r="X47" s="2"/>
      <c r="Y47" s="5"/>
      <c r="Z47" s="2"/>
      <c r="AA47" s="2"/>
      <c r="AB47" s="2"/>
      <c r="AC47" s="2"/>
      <c r="AD47" s="2"/>
      <c r="AE47" s="2"/>
      <c r="AF47" s="2"/>
      <c r="AG47" s="2"/>
      <c r="AH47" s="2"/>
      <c r="AI47" s="2"/>
    </row>
    <row r="48">
      <c r="A48" s="3"/>
      <c r="B48" s="2"/>
      <c r="C48" s="2"/>
      <c r="D48" s="2"/>
      <c r="E48" s="2"/>
      <c r="F48" s="2"/>
      <c r="G48" s="2"/>
      <c r="H48" s="3" t="s">
        <v>122</v>
      </c>
      <c r="I48" s="3" t="s">
        <v>19</v>
      </c>
      <c r="J48" s="2">
        <f t="shared" si="1"/>
        <v>1</v>
      </c>
      <c r="K48" s="2" t="str">
        <f t="array" ref="K48">"""\cite{" &amp; TEXTJOIN(", ",TRUE,IF(ISNUMBER(SEARCH(H48,$C$2:$C1058)),$B$2:$B1058,"")) &amp; "}"""</f>
        <v>"\cite{ogenrwot2020comparison}"</v>
      </c>
      <c r="M48" s="2"/>
      <c r="N48" s="2"/>
      <c r="O48" s="2"/>
      <c r="P48" s="2"/>
      <c r="Q48" s="2"/>
      <c r="R48" s="2"/>
      <c r="S48" s="2"/>
      <c r="T48" s="2"/>
      <c r="U48" s="2"/>
      <c r="V48" s="2"/>
      <c r="W48" s="2"/>
      <c r="X48" s="2"/>
      <c r="Y48" s="5"/>
      <c r="Z48" s="2"/>
      <c r="AA48" s="2"/>
      <c r="AB48" s="2"/>
      <c r="AC48" s="2"/>
      <c r="AD48" s="2"/>
      <c r="AE48" s="2"/>
      <c r="AF48" s="2"/>
      <c r="AG48" s="2"/>
      <c r="AH48" s="2"/>
      <c r="AI48" s="2"/>
    </row>
    <row r="49">
      <c r="A49" s="3"/>
      <c r="B49" s="2"/>
      <c r="C49" s="2"/>
      <c r="D49" s="2"/>
      <c r="E49" s="2"/>
      <c r="F49" s="2"/>
      <c r="G49" s="2"/>
      <c r="H49" s="3" t="s">
        <v>123</v>
      </c>
      <c r="I49" s="3" t="s">
        <v>19</v>
      </c>
      <c r="J49" s="2">
        <f t="shared" si="1"/>
        <v>1</v>
      </c>
      <c r="K49" s="2" t="str">
        <f t="array" ref="K49">"""\cite{" &amp; TEXTJOIN(", ",TRUE,IF(ISNUMBER(SEARCH(H49,$C$2:$C1058)),$B$2:$B1058,"")) &amp; "}"""</f>
        <v>"\cite{yamashita2013exploring}"</v>
      </c>
      <c r="M49" s="2"/>
      <c r="N49" s="2"/>
      <c r="O49" s="2"/>
      <c r="P49" s="2"/>
      <c r="Q49" s="2"/>
      <c r="R49" s="2"/>
      <c r="S49" s="2"/>
      <c r="T49" s="2"/>
      <c r="U49" s="2"/>
      <c r="V49" s="2"/>
      <c r="W49" s="2"/>
      <c r="X49" s="2"/>
      <c r="Y49" s="5"/>
      <c r="Z49" s="2"/>
      <c r="AA49" s="2"/>
      <c r="AB49" s="2"/>
      <c r="AC49" s="2"/>
      <c r="AD49" s="2"/>
      <c r="AE49" s="2"/>
      <c r="AF49" s="2"/>
      <c r="AG49" s="2"/>
      <c r="AH49" s="2"/>
      <c r="AI49" s="2"/>
    </row>
    <row r="50">
      <c r="A50" s="3"/>
      <c r="B50" s="2"/>
      <c r="C50" s="2"/>
      <c r="D50" s="2"/>
      <c r="E50" s="2"/>
      <c r="F50" s="2"/>
      <c r="G50" s="2"/>
      <c r="H50" s="3" t="s">
        <v>124</v>
      </c>
      <c r="I50" s="3" t="s">
        <v>19</v>
      </c>
      <c r="J50" s="2">
        <f t="shared" si="1"/>
        <v>1</v>
      </c>
      <c r="K50" s="2" t="str">
        <f t="array" ref="K50">"""\cite{" &amp; TEXTJOIN(", ",TRUE,IF(ISNUMBER(SEARCH(H50,$C$2:$C1058)),$B$2:$B1058,"")) &amp; "}"""</f>
        <v>"\cite{bessghaier2020diffusion}"</v>
      </c>
      <c r="M50" s="2"/>
      <c r="N50" s="2"/>
      <c r="O50" s="2"/>
      <c r="P50" s="2"/>
      <c r="Q50" s="2"/>
      <c r="R50" s="2"/>
      <c r="S50" s="2"/>
      <c r="T50" s="2"/>
      <c r="U50" s="2"/>
      <c r="V50" s="2"/>
      <c r="W50" s="2"/>
      <c r="X50" s="2"/>
      <c r="Y50" s="5"/>
      <c r="Z50" s="2"/>
      <c r="AA50" s="2"/>
      <c r="AB50" s="2"/>
      <c r="AC50" s="2"/>
      <c r="AD50" s="2"/>
      <c r="AE50" s="2"/>
      <c r="AF50" s="2"/>
      <c r="AG50" s="2"/>
      <c r="AH50" s="2"/>
      <c r="AI50" s="2"/>
    </row>
    <row r="51">
      <c r="A51" s="3"/>
      <c r="B51" s="2"/>
      <c r="C51" s="2"/>
      <c r="D51" s="2"/>
      <c r="E51" s="2"/>
      <c r="F51" s="2"/>
      <c r="G51" s="2"/>
      <c r="H51" s="3" t="s">
        <v>125</v>
      </c>
      <c r="I51" s="3" t="s">
        <v>19</v>
      </c>
      <c r="J51" s="2">
        <f t="shared" si="1"/>
        <v>1</v>
      </c>
      <c r="K51" s="2" t="str">
        <f t="array" ref="K51">"""\cite{" &amp; TEXTJOIN(", ",TRUE,IF(ISNUMBER(SEARCH(H51,$C$2:$C1058)),$B$2:$B1058,"")) &amp; "}"""</f>
        <v>"\cite{bessghaier2020diffusion}"</v>
      </c>
      <c r="M51" s="2"/>
      <c r="N51" s="2"/>
      <c r="O51" s="2"/>
      <c r="P51" s="2"/>
      <c r="Q51" s="2"/>
      <c r="R51" s="2"/>
      <c r="S51" s="2"/>
      <c r="T51" s="2"/>
      <c r="U51" s="2"/>
      <c r="V51" s="2"/>
      <c r="W51" s="2"/>
      <c r="X51" s="2"/>
      <c r="Y51" s="5"/>
      <c r="Z51" s="2"/>
      <c r="AA51" s="2"/>
      <c r="AB51" s="2"/>
      <c r="AC51" s="2"/>
      <c r="AD51" s="2"/>
      <c r="AE51" s="2"/>
      <c r="AF51" s="2"/>
      <c r="AG51" s="2"/>
      <c r="AH51" s="2"/>
      <c r="AI51" s="2"/>
    </row>
    <row r="52">
      <c r="A52" s="3"/>
      <c r="B52" s="2"/>
      <c r="C52" s="2"/>
      <c r="D52" s="2"/>
      <c r="E52" s="2"/>
      <c r="F52" s="2"/>
      <c r="G52" s="2"/>
      <c r="H52" s="3" t="s">
        <v>126</v>
      </c>
      <c r="I52" s="3" t="s">
        <v>19</v>
      </c>
      <c r="J52" s="2">
        <f t="shared" si="1"/>
        <v>1</v>
      </c>
      <c r="K52" s="2" t="str">
        <f t="array" ref="K52">"""\cite{" &amp; TEXTJOIN(", ",TRUE,IF(ISNUMBER(SEARCH(H52,$C$2:$C1058)),$B$2:$B1058,"")) &amp; "}"""</f>
        <v>"\cite{yamashita2015inter}"</v>
      </c>
      <c r="M52" s="2"/>
      <c r="N52" s="2"/>
      <c r="O52" s="2"/>
      <c r="P52" s="2"/>
      <c r="Q52" s="2"/>
      <c r="R52" s="2"/>
      <c r="S52" s="2"/>
      <c r="T52" s="2"/>
      <c r="U52" s="2"/>
      <c r="V52" s="2"/>
      <c r="W52" s="2"/>
      <c r="X52" s="2"/>
      <c r="Y52" s="5"/>
      <c r="Z52" s="2"/>
      <c r="AA52" s="2"/>
      <c r="AB52" s="2"/>
      <c r="AC52" s="2"/>
      <c r="AD52" s="2"/>
      <c r="AE52" s="2"/>
      <c r="AF52" s="2"/>
      <c r="AG52" s="2"/>
      <c r="AH52" s="2"/>
      <c r="AI52" s="2"/>
    </row>
    <row r="53">
      <c r="A53" s="3"/>
      <c r="B53" s="2"/>
      <c r="C53" s="2"/>
      <c r="D53" s="2"/>
      <c r="E53" s="2"/>
      <c r="F53" s="2"/>
      <c r="G53" s="2"/>
      <c r="H53" s="3" t="s">
        <v>127</v>
      </c>
      <c r="I53" s="3" t="s">
        <v>19</v>
      </c>
      <c r="J53" s="2">
        <f t="shared" si="1"/>
        <v>1</v>
      </c>
      <c r="K53" s="2" t="str">
        <f t="array" ref="K53">"""\cite{" &amp; TEXTJOIN(", ",TRUE,IF(ISNUMBER(SEARCH(H53,$C$2:$C1058)),$B$2:$B1058,"")) &amp; "}"""</f>
        <v>"\cite{yamashita2013exploring}"</v>
      </c>
      <c r="M53" s="2"/>
      <c r="N53" s="2"/>
      <c r="O53" s="2"/>
      <c r="P53" s="2"/>
      <c r="Q53" s="2"/>
      <c r="R53" s="2"/>
      <c r="S53" s="2"/>
      <c r="T53" s="2"/>
      <c r="U53" s="2"/>
      <c r="V53" s="2"/>
      <c r="W53" s="2"/>
      <c r="X53" s="2"/>
      <c r="Y53" s="5"/>
      <c r="Z53" s="2"/>
      <c r="AA53" s="2"/>
      <c r="AB53" s="2"/>
      <c r="AC53" s="2"/>
      <c r="AD53" s="2"/>
      <c r="AE53" s="2"/>
      <c r="AF53" s="2"/>
      <c r="AG53" s="2"/>
      <c r="AH53" s="2"/>
      <c r="AI53" s="2"/>
    </row>
    <row r="54">
      <c r="A54" s="3"/>
      <c r="B54" s="2"/>
      <c r="C54" s="2"/>
      <c r="D54" s="2"/>
      <c r="E54" s="2"/>
      <c r="F54" s="2"/>
      <c r="G54" s="2"/>
      <c r="H54" s="3" t="s">
        <v>128</v>
      </c>
      <c r="I54" s="3" t="s">
        <v>129</v>
      </c>
      <c r="J54" s="2">
        <f t="shared" si="1"/>
        <v>1</v>
      </c>
      <c r="K54" s="2" t="str">
        <f t="array" ref="K54">"""\cite{" &amp; TEXTJOIN(", ",TRUE,IF(ISNUMBER(SEARCH(H54,$C$2:$C1058)),$B$2:$B1058,"")) &amp; "}"""</f>
        <v>"\cite{muse2020prevalence}"</v>
      </c>
      <c r="M54" s="2"/>
      <c r="N54" s="2"/>
      <c r="O54" s="2"/>
      <c r="P54" s="2"/>
      <c r="Q54" s="2"/>
      <c r="R54" s="2"/>
      <c r="S54" s="2"/>
      <c r="T54" s="2"/>
      <c r="U54" s="2"/>
      <c r="V54" s="2"/>
      <c r="W54" s="2"/>
      <c r="X54" s="2"/>
      <c r="Y54" s="5"/>
      <c r="Z54" s="2"/>
      <c r="AA54" s="2"/>
      <c r="AB54" s="2"/>
      <c r="AC54" s="2"/>
      <c r="AD54" s="2"/>
      <c r="AE54" s="2"/>
      <c r="AF54" s="2"/>
      <c r="AG54" s="2"/>
      <c r="AH54" s="2"/>
      <c r="AI54" s="2"/>
    </row>
    <row r="55">
      <c r="A55" s="3"/>
      <c r="B55" s="2"/>
      <c r="C55" s="2"/>
      <c r="D55" s="2"/>
      <c r="E55" s="2"/>
      <c r="F55" s="2"/>
      <c r="G55" s="2"/>
      <c r="H55" s="8" t="s">
        <v>130</v>
      </c>
      <c r="I55" s="3" t="s">
        <v>129</v>
      </c>
      <c r="J55" s="2">
        <f t="shared" si="1"/>
        <v>1</v>
      </c>
      <c r="K55" s="2" t="str">
        <f t="array" ref="K55">"""\cite{" &amp; TEXTJOIN(", ",TRUE,IF(ISNUMBER(SEARCH(H55,$C$2:$C1058)),$B$2:$B1058,"")) &amp; "}"""</f>
        <v>"\cite{hamdi2021empirical}"</v>
      </c>
      <c r="M55" s="2"/>
      <c r="N55" s="2"/>
      <c r="O55" s="2"/>
      <c r="P55" s="2"/>
      <c r="Q55" s="2"/>
      <c r="R55" s="2"/>
      <c r="S55" s="2"/>
      <c r="T55" s="2"/>
      <c r="U55" s="2"/>
      <c r="V55" s="2"/>
      <c r="W55" s="2"/>
      <c r="X55" s="2"/>
      <c r="Y55" s="5"/>
      <c r="Z55" s="2"/>
      <c r="AA55" s="2"/>
      <c r="AB55" s="2"/>
      <c r="AC55" s="2"/>
      <c r="AD55" s="2"/>
      <c r="AE55" s="2"/>
      <c r="AF55" s="2"/>
      <c r="AG55" s="2"/>
      <c r="AH55" s="2"/>
      <c r="AI55" s="2"/>
    </row>
    <row r="56">
      <c r="A56" s="3"/>
      <c r="B56" s="2"/>
      <c r="C56" s="2"/>
      <c r="D56" s="2"/>
      <c r="E56" s="2"/>
      <c r="F56" s="2"/>
      <c r="G56" s="2"/>
      <c r="H56" s="8" t="s">
        <v>131</v>
      </c>
      <c r="I56" s="3" t="s">
        <v>129</v>
      </c>
      <c r="J56" s="2">
        <f t="shared" si="1"/>
        <v>1</v>
      </c>
      <c r="K56" s="2" t="str">
        <f t="array" ref="K56">"""\cite{" &amp; TEXTJOIN(", ",TRUE,IF(ISNUMBER(SEARCH(H56,$C$2:$C1058)),$B$2:$B1058,"")) &amp; "}"""</f>
        <v>"\cite{hamdi2021empirical}"</v>
      </c>
      <c r="M56" s="2"/>
      <c r="N56" s="2"/>
      <c r="O56" s="2"/>
      <c r="P56" s="2"/>
      <c r="Q56" s="2"/>
      <c r="R56" s="2"/>
      <c r="S56" s="2"/>
      <c r="T56" s="2"/>
      <c r="U56" s="2"/>
      <c r="V56" s="2"/>
      <c r="W56" s="2"/>
      <c r="X56" s="2"/>
      <c r="Y56" s="5"/>
      <c r="Z56" s="2"/>
      <c r="AA56" s="2"/>
      <c r="AB56" s="2"/>
      <c r="AC56" s="2"/>
      <c r="AD56" s="2"/>
      <c r="AE56" s="2"/>
      <c r="AF56" s="2"/>
      <c r="AG56" s="2"/>
      <c r="AH56" s="2"/>
      <c r="AI56" s="2"/>
    </row>
    <row r="57">
      <c r="A57" s="3"/>
      <c r="B57" s="2"/>
      <c r="C57" s="2"/>
      <c r="D57" s="2"/>
      <c r="E57" s="2"/>
      <c r="F57" s="2"/>
      <c r="G57" s="2"/>
      <c r="H57" s="8" t="s">
        <v>132</v>
      </c>
      <c r="I57" s="3" t="s">
        <v>129</v>
      </c>
      <c r="J57" s="2">
        <f t="shared" si="1"/>
        <v>1</v>
      </c>
      <c r="K57" s="2" t="str">
        <f t="array" ref="K57">"""\cite{" &amp; TEXTJOIN(", ",TRUE,IF(ISNUMBER(SEARCH(H57,$C$2:$C1058)),$B$2:$B1058,"")) &amp; "}"""</f>
        <v>"\cite{hamdi2021empirical}"</v>
      </c>
      <c r="M57" s="2"/>
      <c r="N57" s="2"/>
      <c r="O57" s="2"/>
      <c r="P57" s="2"/>
      <c r="Q57" s="2"/>
      <c r="R57" s="2"/>
      <c r="S57" s="2"/>
      <c r="T57" s="2"/>
      <c r="U57" s="2"/>
      <c r="V57" s="2"/>
      <c r="W57" s="2"/>
      <c r="X57" s="2"/>
      <c r="Y57" s="5"/>
      <c r="Z57" s="2"/>
      <c r="AA57" s="2"/>
      <c r="AB57" s="2"/>
      <c r="AC57" s="2"/>
      <c r="AD57" s="2"/>
      <c r="AE57" s="2"/>
      <c r="AF57" s="2"/>
      <c r="AG57" s="2"/>
      <c r="AH57" s="2"/>
      <c r="AI57" s="2"/>
    </row>
    <row r="58">
      <c r="A58" s="3"/>
      <c r="B58" s="2"/>
      <c r="C58" s="2"/>
      <c r="D58" s="2"/>
      <c r="E58" s="2"/>
      <c r="F58" s="2"/>
      <c r="G58" s="2"/>
      <c r="H58" s="3" t="s">
        <v>133</v>
      </c>
      <c r="I58" s="3" t="s">
        <v>129</v>
      </c>
      <c r="J58" s="2">
        <f t="shared" si="1"/>
        <v>1</v>
      </c>
      <c r="K58" s="2" t="str">
        <f t="array" ref="K58">"""\cite{" &amp; TEXTJOIN(", ",TRUE,IF(ISNUMBER(SEARCH(H58,$C$2:$C1058)),$B$2:$B1058,"")) &amp; "}"""</f>
        <v>"\cite{muse2020prevalence}"</v>
      </c>
      <c r="M58" s="2"/>
      <c r="N58" s="2"/>
      <c r="O58" s="2"/>
      <c r="P58" s="2"/>
      <c r="Q58" s="2"/>
      <c r="R58" s="2"/>
      <c r="S58" s="2"/>
      <c r="T58" s="2"/>
      <c r="U58" s="2"/>
      <c r="V58" s="2"/>
      <c r="W58" s="2"/>
      <c r="X58" s="2"/>
      <c r="Y58" s="5"/>
      <c r="Z58" s="2"/>
      <c r="AA58" s="2"/>
      <c r="AB58" s="2"/>
      <c r="AC58" s="2"/>
      <c r="AD58" s="2"/>
      <c r="AE58" s="2"/>
      <c r="AF58" s="2"/>
      <c r="AG58" s="2"/>
      <c r="AH58" s="2"/>
      <c r="AI58" s="2"/>
    </row>
    <row r="59">
      <c r="A59" s="1"/>
      <c r="B59" s="1"/>
      <c r="C59" s="1"/>
      <c r="D59" s="2"/>
      <c r="E59" s="2"/>
      <c r="F59" s="2"/>
      <c r="G59" s="2"/>
      <c r="H59" s="3" t="s">
        <v>134</v>
      </c>
      <c r="I59" s="3" t="s">
        <v>129</v>
      </c>
      <c r="J59" s="2">
        <f t="shared" si="1"/>
        <v>1</v>
      </c>
      <c r="K59" s="2" t="str">
        <f t="array" ref="K59">"""\cite{" &amp; TEXTJOIN(", ",TRUE,IF(ISNUMBER(SEARCH(H59,$C$2:$C1058)),$B$2:$B1058,"")) &amp; "}"""</f>
        <v>"\cite{muse2020prevalence}"</v>
      </c>
      <c r="M59" s="2"/>
      <c r="N59" s="2"/>
      <c r="O59" s="2"/>
      <c r="P59" s="2"/>
      <c r="Q59" s="2"/>
      <c r="R59" s="2"/>
      <c r="S59" s="2"/>
      <c r="T59" s="2"/>
      <c r="U59" s="2"/>
      <c r="V59" s="2"/>
      <c r="W59" s="2"/>
      <c r="X59" s="2"/>
      <c r="Y59" s="5"/>
      <c r="Z59" s="2"/>
      <c r="AA59" s="2"/>
      <c r="AB59" s="2"/>
      <c r="AC59" s="2"/>
      <c r="AD59" s="2"/>
      <c r="AE59" s="2"/>
      <c r="AF59" s="2"/>
      <c r="AG59" s="2"/>
      <c r="AH59" s="2"/>
      <c r="AI59" s="2"/>
    </row>
    <row r="60">
      <c r="A60" s="2"/>
      <c r="B60" s="2"/>
      <c r="C60" s="2"/>
      <c r="D60" s="2"/>
      <c r="E60" s="2"/>
      <c r="F60" s="2"/>
      <c r="G60" s="2"/>
      <c r="H60" s="8" t="s">
        <v>135</v>
      </c>
      <c r="I60" s="3" t="s">
        <v>129</v>
      </c>
      <c r="J60" s="2">
        <f t="shared" si="1"/>
        <v>1</v>
      </c>
      <c r="K60" s="2" t="str">
        <f t="array" ref="K60">"""\cite{" &amp; TEXTJOIN(", ",TRUE,IF(ISNUMBER(SEARCH(H60,$C$2:$C1058)),$B$2:$B1058,"")) &amp; "}"""</f>
        <v>"\cite{hamdi2021empirical}"</v>
      </c>
      <c r="M60" s="2"/>
      <c r="N60" s="2"/>
      <c r="O60" s="2"/>
      <c r="P60" s="2"/>
      <c r="Q60" s="2"/>
      <c r="R60" s="2"/>
      <c r="S60" s="2"/>
      <c r="T60" s="2"/>
      <c r="U60" s="2"/>
      <c r="V60" s="2"/>
      <c r="W60" s="2"/>
      <c r="X60" s="2"/>
      <c r="Y60" s="5"/>
      <c r="Z60" s="2"/>
      <c r="AA60" s="2"/>
      <c r="AB60" s="2"/>
      <c r="AC60" s="2"/>
      <c r="AD60" s="2"/>
      <c r="AE60" s="2"/>
      <c r="AF60" s="2"/>
      <c r="AG60" s="2"/>
      <c r="AH60" s="2"/>
      <c r="AI60" s="2"/>
    </row>
    <row r="61">
      <c r="A61" s="2"/>
      <c r="B61" s="2"/>
      <c r="C61" s="2"/>
      <c r="D61" s="2"/>
      <c r="E61" s="2"/>
      <c r="F61" s="2"/>
      <c r="G61" s="2"/>
      <c r="H61" s="8" t="s">
        <v>136</v>
      </c>
      <c r="I61" s="3" t="s">
        <v>129</v>
      </c>
      <c r="J61" s="2">
        <f t="shared" si="1"/>
        <v>1</v>
      </c>
      <c r="K61" s="2" t="str">
        <f t="array" ref="K61">"""\cite{" &amp; TEXTJOIN(", ",TRUE,IF(ISNUMBER(SEARCH(H61,$C$2:$C1058)),$B$2:$B1058,"")) &amp; "}"""</f>
        <v>"\cite{hamdi2021empirical}"</v>
      </c>
      <c r="M61" s="2"/>
      <c r="N61" s="2"/>
      <c r="O61" s="2"/>
      <c r="P61" s="2"/>
      <c r="Q61" s="2"/>
      <c r="R61" s="2"/>
      <c r="S61" s="2"/>
      <c r="T61" s="2"/>
      <c r="U61" s="2"/>
      <c r="V61" s="2"/>
      <c r="W61" s="2"/>
      <c r="X61" s="2"/>
      <c r="Y61" s="5"/>
      <c r="Z61" s="2"/>
      <c r="AA61" s="2"/>
      <c r="AB61" s="2"/>
      <c r="AC61" s="2"/>
      <c r="AD61" s="2"/>
      <c r="AE61" s="2"/>
      <c r="AF61" s="2"/>
      <c r="AG61" s="2"/>
      <c r="AH61" s="2"/>
      <c r="AI61" s="2"/>
    </row>
    <row r="62">
      <c r="A62" s="2"/>
      <c r="B62" s="2"/>
      <c r="C62" s="2"/>
      <c r="D62" s="2"/>
      <c r="E62" s="2"/>
      <c r="F62" s="2"/>
      <c r="G62" s="2"/>
      <c r="H62" s="8" t="s">
        <v>137</v>
      </c>
      <c r="I62" s="3" t="s">
        <v>129</v>
      </c>
      <c r="J62" s="2">
        <f t="shared" si="1"/>
        <v>1</v>
      </c>
      <c r="K62" s="2" t="str">
        <f t="array" ref="K62">"""\cite{" &amp; TEXTJOIN(", ",TRUE,IF(ISNUMBER(SEARCH(H62,$C$2:$C1058)),$B$2:$B1058,"")) &amp; "}"""</f>
        <v>"\cite{hamdi2021empirical}"</v>
      </c>
      <c r="M62" s="2"/>
      <c r="N62" s="2"/>
      <c r="O62" s="2"/>
      <c r="P62" s="2"/>
      <c r="Q62" s="2"/>
      <c r="R62" s="2"/>
      <c r="S62" s="2"/>
      <c r="T62" s="2"/>
      <c r="U62" s="2"/>
      <c r="V62" s="2"/>
      <c r="W62" s="2"/>
      <c r="X62" s="2"/>
      <c r="Y62" s="5"/>
      <c r="Z62" s="2"/>
      <c r="AA62" s="2"/>
      <c r="AB62" s="2"/>
      <c r="AC62" s="2"/>
      <c r="AD62" s="2"/>
      <c r="AE62" s="2"/>
      <c r="AF62" s="2"/>
      <c r="AG62" s="2"/>
      <c r="AH62" s="2"/>
      <c r="AI62" s="2"/>
    </row>
    <row r="63">
      <c r="A63" s="2"/>
      <c r="B63" s="2"/>
      <c r="C63" s="2"/>
      <c r="D63" s="2"/>
      <c r="E63" s="2"/>
      <c r="F63" s="2"/>
      <c r="G63" s="2"/>
      <c r="H63" s="8" t="s">
        <v>138</v>
      </c>
      <c r="I63" s="3" t="s">
        <v>129</v>
      </c>
      <c r="J63" s="2">
        <f t="shared" si="1"/>
        <v>1</v>
      </c>
      <c r="K63" s="2" t="str">
        <f t="array" ref="K63">"""\cite{" &amp; TEXTJOIN(", ",TRUE,IF(ISNUMBER(SEARCH(H63,$C$2:$C1058)),$B$2:$B1058,"")) &amp; "}"""</f>
        <v>"\cite{hamdi2021empirical}"</v>
      </c>
      <c r="M63" s="2"/>
      <c r="N63" s="2"/>
      <c r="O63" s="2"/>
      <c r="P63" s="2"/>
      <c r="Q63" s="2"/>
      <c r="R63" s="2"/>
      <c r="S63" s="2"/>
      <c r="T63" s="2"/>
      <c r="U63" s="2"/>
      <c r="V63" s="2"/>
      <c r="W63" s="2"/>
      <c r="X63" s="2"/>
      <c r="Y63" s="5"/>
      <c r="Z63" s="2"/>
      <c r="AA63" s="2"/>
      <c r="AB63" s="2"/>
      <c r="AC63" s="2"/>
      <c r="AD63" s="2"/>
      <c r="AE63" s="2"/>
      <c r="AF63" s="2"/>
      <c r="AG63" s="2"/>
      <c r="AH63" s="2"/>
      <c r="AI63" s="2"/>
    </row>
    <row r="64">
      <c r="A64" s="2"/>
      <c r="B64" s="2"/>
      <c r="C64" s="2"/>
      <c r="D64" s="2"/>
      <c r="E64" s="2"/>
      <c r="F64" s="2"/>
      <c r="G64" s="2"/>
      <c r="H64" s="8" t="s">
        <v>139</v>
      </c>
      <c r="I64" s="3" t="s">
        <v>129</v>
      </c>
      <c r="J64" s="2">
        <f t="shared" si="1"/>
        <v>1</v>
      </c>
      <c r="K64" s="2" t="str">
        <f t="array" ref="K64">"""\cite{" &amp; TEXTJOIN(", ",TRUE,IF(ISNUMBER(SEARCH(H64,$C$2:$C1058)),$B$2:$B1058,"")) &amp; "}"""</f>
        <v>"\cite{hamdi2021empirical}"</v>
      </c>
      <c r="M64" s="2"/>
      <c r="N64" s="2"/>
      <c r="O64" s="2"/>
      <c r="P64" s="2"/>
      <c r="Q64" s="2"/>
      <c r="R64" s="2"/>
      <c r="S64" s="2"/>
      <c r="T64" s="2"/>
      <c r="U64" s="2"/>
      <c r="V64" s="2"/>
      <c r="W64" s="2"/>
      <c r="X64" s="2"/>
      <c r="Y64" s="5"/>
      <c r="Z64" s="2"/>
      <c r="AA64" s="2"/>
      <c r="AB64" s="2"/>
      <c r="AC64" s="2"/>
      <c r="AD64" s="2"/>
      <c r="AE64" s="2"/>
      <c r="AF64" s="2"/>
      <c r="AG64" s="2"/>
      <c r="AH64" s="2"/>
      <c r="AI64" s="2"/>
    </row>
    <row r="65">
      <c r="A65" s="2"/>
      <c r="B65" s="2"/>
      <c r="C65" s="2"/>
      <c r="D65" s="2"/>
      <c r="E65" s="2"/>
      <c r="F65" s="2"/>
      <c r="G65" s="2"/>
      <c r="H65" s="8" t="s">
        <v>140</v>
      </c>
      <c r="I65" s="3" t="s">
        <v>129</v>
      </c>
      <c r="J65" s="2">
        <f t="shared" si="1"/>
        <v>1</v>
      </c>
      <c r="K65" s="2" t="str">
        <f t="array" ref="K65">"""\cite{" &amp; TEXTJOIN(", ",TRUE,IF(ISNUMBER(SEARCH(H65,$C$2:$C1058)),$B$2:$B1058,"")) &amp; "}"""</f>
        <v>"\cite{hamdi2021empirical}"</v>
      </c>
      <c r="M65" s="2"/>
      <c r="N65" s="2"/>
      <c r="O65" s="2"/>
      <c r="P65" s="2"/>
      <c r="Q65" s="2"/>
      <c r="R65" s="2"/>
      <c r="S65" s="2"/>
      <c r="T65" s="2"/>
      <c r="U65" s="2"/>
      <c r="V65" s="2"/>
      <c r="W65" s="2"/>
      <c r="X65" s="2"/>
      <c r="Y65" s="5"/>
      <c r="Z65" s="2"/>
      <c r="AA65" s="2"/>
      <c r="AB65" s="2"/>
      <c r="AC65" s="2"/>
      <c r="AD65" s="2"/>
      <c r="AE65" s="2"/>
      <c r="AF65" s="2"/>
      <c r="AG65" s="2"/>
      <c r="AH65" s="2"/>
      <c r="AI65" s="2"/>
    </row>
    <row r="66">
      <c r="A66" s="2"/>
      <c r="B66" s="2"/>
      <c r="C66" s="2"/>
      <c r="D66" s="2"/>
      <c r="E66" s="2"/>
      <c r="F66" s="2"/>
      <c r="G66" s="2"/>
      <c r="H66" s="8" t="s">
        <v>141</v>
      </c>
      <c r="I66" s="3" t="s">
        <v>129</v>
      </c>
      <c r="J66" s="2">
        <f t="shared" si="1"/>
        <v>1</v>
      </c>
      <c r="K66" s="2" t="str">
        <f t="array" ref="K66">"""\cite{" &amp; TEXTJOIN(", ",TRUE,IF(ISNUMBER(SEARCH(H66,$C$2:$C1058)),$B$2:$B1058,"")) &amp; "}"""</f>
        <v>"\cite{hamdi2021empirical}"</v>
      </c>
      <c r="M66" s="2"/>
      <c r="N66" s="2"/>
      <c r="O66" s="2"/>
      <c r="P66" s="2"/>
      <c r="Q66" s="2"/>
      <c r="R66" s="2"/>
      <c r="S66" s="2"/>
      <c r="T66" s="2"/>
      <c r="U66" s="2"/>
      <c r="V66" s="2"/>
      <c r="W66" s="2"/>
      <c r="X66" s="2"/>
      <c r="Y66" s="5"/>
      <c r="Z66" s="2"/>
      <c r="AA66" s="2"/>
      <c r="AB66" s="2"/>
      <c r="AC66" s="2"/>
      <c r="AD66" s="2"/>
      <c r="AE66" s="2"/>
      <c r="AF66" s="2"/>
      <c r="AG66" s="2"/>
      <c r="AH66" s="2"/>
      <c r="AI66" s="2"/>
    </row>
    <row r="67">
      <c r="A67" s="2"/>
      <c r="B67" s="2"/>
      <c r="C67" s="2"/>
      <c r="D67" s="2"/>
      <c r="E67" s="2"/>
      <c r="F67" s="2"/>
      <c r="G67" s="2"/>
      <c r="H67" s="8" t="s">
        <v>142</v>
      </c>
      <c r="I67" s="3" t="s">
        <v>129</v>
      </c>
      <c r="J67" s="2">
        <f t="shared" si="1"/>
        <v>1</v>
      </c>
      <c r="K67" s="2" t="str">
        <f t="array" ref="K67">"""\cite{" &amp; TEXTJOIN(", ",TRUE,IF(ISNUMBER(SEARCH(H67,$C$2:$C1058)),$B$2:$B1058,"")) &amp; "}"""</f>
        <v>"\cite{hamdi2021empirical}"</v>
      </c>
      <c r="M67" s="2"/>
      <c r="N67" s="2"/>
      <c r="O67" s="2"/>
      <c r="P67" s="2"/>
      <c r="Q67" s="2"/>
      <c r="R67" s="2"/>
      <c r="S67" s="2"/>
      <c r="T67" s="2"/>
      <c r="U67" s="2"/>
      <c r="V67" s="2"/>
      <c r="W67" s="2"/>
      <c r="X67" s="2"/>
      <c r="Y67" s="5"/>
      <c r="Z67" s="2"/>
      <c r="AA67" s="2"/>
      <c r="AB67" s="2"/>
      <c r="AC67" s="2"/>
      <c r="AD67" s="2"/>
      <c r="AE67" s="2"/>
      <c r="AF67" s="2"/>
      <c r="AG67" s="2"/>
      <c r="AH67" s="2"/>
      <c r="AI67" s="2"/>
    </row>
    <row r="68">
      <c r="A68" s="2"/>
      <c r="B68" s="2"/>
      <c r="C68" s="2"/>
      <c r="D68" s="2"/>
      <c r="E68" s="2"/>
      <c r="F68" s="2"/>
      <c r="G68" s="2"/>
      <c r="H68" s="8" t="s">
        <v>143</v>
      </c>
      <c r="I68" s="3" t="s">
        <v>129</v>
      </c>
      <c r="J68" s="2">
        <f t="shared" si="1"/>
        <v>1</v>
      </c>
      <c r="K68" s="2" t="str">
        <f t="array" ref="K68">"""\cite{" &amp; TEXTJOIN(", ",TRUE,IF(ISNUMBER(SEARCH(H68,$C$2:$C1058)),$B$2:$B1058,"")) &amp; "}"""</f>
        <v>"\cite{hamdi2021empirical}"</v>
      </c>
      <c r="M68" s="2"/>
      <c r="N68" s="2"/>
      <c r="O68" s="2"/>
      <c r="P68" s="2"/>
      <c r="Q68" s="2"/>
      <c r="R68" s="2"/>
      <c r="S68" s="2"/>
      <c r="T68" s="2"/>
      <c r="U68" s="2"/>
      <c r="V68" s="2"/>
      <c r="W68" s="2"/>
      <c r="X68" s="2"/>
      <c r="Y68" s="5"/>
      <c r="Z68" s="2"/>
      <c r="AA68" s="2"/>
      <c r="AB68" s="2"/>
      <c r="AC68" s="2"/>
      <c r="AD68" s="2"/>
      <c r="AE68" s="2"/>
      <c r="AF68" s="2"/>
      <c r="AG68" s="2"/>
      <c r="AH68" s="2"/>
      <c r="AI68" s="2"/>
    </row>
    <row r="69">
      <c r="A69" s="2"/>
      <c r="B69" s="2"/>
      <c r="C69" s="2"/>
      <c r="D69" s="2"/>
      <c r="E69" s="2"/>
      <c r="F69" s="2"/>
      <c r="G69" s="2"/>
      <c r="H69" s="3" t="s">
        <v>144</v>
      </c>
      <c r="I69" s="3" t="s">
        <v>129</v>
      </c>
      <c r="J69" s="2">
        <f t="shared" si="1"/>
        <v>1</v>
      </c>
      <c r="K69" s="2" t="str">
        <f t="array" ref="K69">"""\cite{" &amp; TEXTJOIN(", ",TRUE,IF(ISNUMBER(SEARCH(H69,$C$2:$C1058)),$B$2:$B1058,"")) &amp; "}"""</f>
        <v>"\cite{muse2020prevalence}"</v>
      </c>
      <c r="M69" s="2"/>
      <c r="N69" s="2"/>
      <c r="O69" s="2"/>
      <c r="P69" s="2"/>
      <c r="Q69" s="2"/>
      <c r="R69" s="2"/>
      <c r="S69" s="2"/>
      <c r="T69" s="2"/>
      <c r="U69" s="2"/>
      <c r="V69" s="2"/>
      <c r="W69" s="2"/>
      <c r="X69" s="2"/>
      <c r="Y69" s="5"/>
      <c r="Z69" s="2"/>
      <c r="AA69" s="2"/>
      <c r="AB69" s="2"/>
      <c r="AC69" s="2"/>
      <c r="AD69" s="2"/>
      <c r="AE69" s="2"/>
      <c r="AF69" s="2"/>
      <c r="AG69" s="2"/>
      <c r="AH69" s="2"/>
      <c r="AI69" s="2"/>
    </row>
    <row r="70">
      <c r="A70" s="2"/>
      <c r="B70" s="2"/>
      <c r="C70" s="2"/>
      <c r="D70" s="2"/>
      <c r="E70" s="2"/>
      <c r="F70" s="2"/>
      <c r="G70" s="2"/>
      <c r="H70" s="8" t="s">
        <v>145</v>
      </c>
      <c r="I70" s="3" t="s">
        <v>129</v>
      </c>
      <c r="J70" s="2">
        <f t="shared" si="1"/>
        <v>1</v>
      </c>
      <c r="K70" s="2" t="str">
        <f t="array" ref="K70">"""\cite{" &amp; TEXTJOIN(", ",TRUE,IF(ISNUMBER(SEARCH(H70,$C$2:$C1058)),$B$2:$B1058,"")) &amp; "}"""</f>
        <v>"\cite{hamdi2021empirical}"</v>
      </c>
      <c r="M70" s="2"/>
      <c r="N70" s="2"/>
      <c r="O70" s="2"/>
      <c r="P70" s="2"/>
      <c r="Q70" s="2"/>
      <c r="R70" s="2"/>
      <c r="S70" s="2"/>
      <c r="T70" s="2"/>
      <c r="U70" s="2"/>
      <c r="V70" s="2"/>
      <c r="W70" s="2"/>
      <c r="X70" s="2"/>
      <c r="Y70" s="5"/>
      <c r="Z70" s="2"/>
      <c r="AA70" s="2"/>
      <c r="AB70" s="2"/>
      <c r="AC70" s="2"/>
      <c r="AD70" s="2"/>
      <c r="AE70" s="2"/>
      <c r="AF70" s="2"/>
      <c r="AG70" s="2"/>
      <c r="AH70" s="2"/>
      <c r="AI70" s="2"/>
    </row>
    <row r="71">
      <c r="A71" s="2"/>
      <c r="B71" s="2"/>
      <c r="C71" s="2"/>
      <c r="D71" s="2"/>
      <c r="E71" s="2"/>
      <c r="F71" s="2"/>
      <c r="G71" s="2"/>
      <c r="H71" s="8" t="s">
        <v>146</v>
      </c>
      <c r="I71" s="3" t="s">
        <v>129</v>
      </c>
      <c r="J71" s="2">
        <f t="shared" si="1"/>
        <v>1</v>
      </c>
      <c r="K71" s="2" t="str">
        <f t="array" ref="K71">"""\cite{" &amp; TEXTJOIN(", ",TRUE,IF(ISNUMBER(SEARCH(H71,$C$2:$C1058)),$B$2:$B1058,"")) &amp; "}"""</f>
        <v>"\cite{hamdi2021empirical}"</v>
      </c>
      <c r="M71" s="2"/>
      <c r="N71" s="2"/>
      <c r="O71" s="2"/>
      <c r="P71" s="2"/>
      <c r="Q71" s="2"/>
      <c r="R71" s="2"/>
      <c r="S71" s="2"/>
      <c r="T71" s="2"/>
      <c r="U71" s="2"/>
      <c r="V71" s="2"/>
      <c r="W71" s="2"/>
      <c r="X71" s="2"/>
      <c r="Y71" s="5"/>
      <c r="Z71" s="2"/>
      <c r="AA71" s="2"/>
      <c r="AB71" s="2"/>
      <c r="AC71" s="2"/>
      <c r="AD71" s="2"/>
      <c r="AE71" s="2"/>
      <c r="AF71" s="2"/>
      <c r="AG71" s="2"/>
      <c r="AH71" s="2"/>
      <c r="AI71" s="2"/>
    </row>
    <row r="72">
      <c r="A72" s="2"/>
      <c r="B72" s="2"/>
      <c r="C72" s="2"/>
      <c r="D72" s="2"/>
      <c r="E72" s="2"/>
      <c r="F72" s="2"/>
      <c r="G72" s="2"/>
      <c r="H72" s="8" t="s">
        <v>147</v>
      </c>
      <c r="I72" s="3" t="s">
        <v>129</v>
      </c>
      <c r="J72" s="2">
        <f t="shared" si="1"/>
        <v>1</v>
      </c>
      <c r="K72" s="2" t="str">
        <f t="array" ref="K72">"""\cite{" &amp; TEXTJOIN(", ",TRUE,IF(ISNUMBER(SEARCH(H72,$C$2:$C1058)),$B$2:$B1058,"")) &amp; "}"""</f>
        <v>"\cite{hamdi2021empirical}"</v>
      </c>
      <c r="M72" s="2"/>
      <c r="N72" s="2"/>
      <c r="O72" s="2"/>
      <c r="P72" s="2"/>
      <c r="Q72" s="2"/>
      <c r="R72" s="2"/>
      <c r="S72" s="2"/>
      <c r="T72" s="2"/>
      <c r="U72" s="2"/>
      <c r="V72" s="2"/>
      <c r="W72" s="2"/>
      <c r="X72" s="2"/>
      <c r="Y72" s="5"/>
      <c r="Z72" s="2"/>
      <c r="AA72" s="2"/>
      <c r="AB72" s="2"/>
      <c r="AC72" s="2"/>
      <c r="AD72" s="2"/>
      <c r="AE72" s="2"/>
      <c r="AF72" s="2"/>
      <c r="AG72" s="2"/>
      <c r="AH72" s="2"/>
      <c r="AI72" s="2"/>
    </row>
    <row r="73">
      <c r="A73" s="2"/>
      <c r="B73" s="2"/>
      <c r="C73" s="2"/>
      <c r="D73" s="2"/>
      <c r="E73" s="2"/>
      <c r="F73" s="2"/>
      <c r="G73" s="2"/>
      <c r="H73" s="3" t="s">
        <v>148</v>
      </c>
      <c r="I73" s="3" t="s">
        <v>149</v>
      </c>
      <c r="J73" s="2">
        <f t="shared" si="1"/>
        <v>1</v>
      </c>
      <c r="K73" s="2" t="str">
        <f t="array" ref="K73">"""\cite{" &amp; TEXTJOIN(", ",TRUE,IF(ISNUMBER(SEARCH(H73,$C$2:$C1058)),$B$2:$B1058,"")) &amp; "}"""</f>
        <v>"\cite{palomba2016diffusion}"</v>
      </c>
      <c r="M73" s="2"/>
      <c r="N73" s="2"/>
      <c r="O73" s="2"/>
      <c r="P73" s="2"/>
      <c r="Q73" s="2"/>
      <c r="R73" s="2"/>
      <c r="S73" s="2"/>
      <c r="T73" s="2"/>
      <c r="U73" s="2"/>
      <c r="V73" s="2"/>
      <c r="W73" s="2"/>
      <c r="X73" s="2"/>
      <c r="Y73" s="5"/>
      <c r="Z73" s="2"/>
      <c r="AA73" s="2"/>
      <c r="AB73" s="2"/>
      <c r="AC73" s="2"/>
      <c r="AD73" s="2"/>
      <c r="AE73" s="2"/>
      <c r="AF73" s="2"/>
      <c r="AG73" s="2"/>
      <c r="AH73" s="2"/>
      <c r="AI73" s="2"/>
    </row>
    <row r="74">
      <c r="A74" s="2"/>
      <c r="B74" s="2"/>
      <c r="C74" s="2"/>
      <c r="D74" s="2"/>
      <c r="E74" s="2"/>
      <c r="F74" s="2"/>
      <c r="G74" s="2"/>
      <c r="H74" s="3" t="s">
        <v>150</v>
      </c>
      <c r="I74" s="3" t="s">
        <v>149</v>
      </c>
      <c r="J74" s="2">
        <f t="shared" si="1"/>
        <v>1</v>
      </c>
      <c r="K74" s="2" t="str">
        <f t="array" ref="K74">"""\cite{" &amp; TEXTJOIN(", ",TRUE,IF(ISNUMBER(SEARCH(H74,$C$2:$C1058)),$B$2:$B1058,"")) &amp; "}"""</f>
        <v>"\cite{palomba2016diffusion}"</v>
      </c>
      <c r="M74" s="2"/>
      <c r="N74" s="2"/>
      <c r="O74" s="2"/>
      <c r="P74" s="2"/>
      <c r="Q74" s="2"/>
      <c r="R74" s="2"/>
      <c r="S74" s="2"/>
      <c r="T74" s="2"/>
      <c r="U74" s="2"/>
      <c r="V74" s="2"/>
      <c r="W74" s="2"/>
      <c r="X74" s="2"/>
      <c r="Y74" s="5"/>
      <c r="Z74" s="2"/>
      <c r="AA74" s="2"/>
      <c r="AB74" s="2"/>
      <c r="AC74" s="2"/>
      <c r="AD74" s="2"/>
      <c r="AE74" s="2"/>
      <c r="AF74" s="2"/>
      <c r="AG74" s="2"/>
      <c r="AH74" s="2"/>
      <c r="AI74" s="2"/>
    </row>
    <row r="75">
      <c r="A75" s="2"/>
      <c r="B75" s="2"/>
      <c r="C75" s="2"/>
      <c r="D75" s="2"/>
      <c r="E75" s="2"/>
      <c r="F75" s="2"/>
      <c r="G75" s="2"/>
      <c r="H75" s="3" t="s">
        <v>151</v>
      </c>
      <c r="I75" s="3" t="s">
        <v>149</v>
      </c>
      <c r="J75" s="2">
        <f t="shared" si="1"/>
        <v>1</v>
      </c>
      <c r="K75" s="2" t="str">
        <f t="array" ref="K75">"""\cite{" &amp; TEXTJOIN(", ",TRUE,IF(ISNUMBER(SEARCH(H75,$C$2:$C1058)),$B$2:$B1058,"")) &amp; "}"""</f>
        <v>"\cite{palomba2016diffusion}"</v>
      </c>
      <c r="M75" s="2"/>
      <c r="N75" s="2"/>
      <c r="O75" s="2"/>
      <c r="P75" s="2"/>
      <c r="Q75" s="2"/>
      <c r="R75" s="2"/>
      <c r="S75" s="2"/>
      <c r="T75" s="2"/>
      <c r="U75" s="2"/>
      <c r="V75" s="2"/>
      <c r="W75" s="2"/>
      <c r="X75" s="2"/>
      <c r="Y75" s="5"/>
      <c r="Z75" s="2"/>
      <c r="AA75" s="2"/>
      <c r="AB75" s="2"/>
      <c r="AC75" s="2"/>
      <c r="AD75" s="2"/>
      <c r="AE75" s="2"/>
      <c r="AF75" s="2"/>
      <c r="AG75" s="2"/>
      <c r="AH75" s="2"/>
      <c r="AI75" s="2"/>
    </row>
    <row r="76">
      <c r="A76" s="2"/>
      <c r="B76" s="2"/>
      <c r="C76" s="2"/>
      <c r="D76" s="2"/>
      <c r="E76" s="2"/>
      <c r="F76" s="2"/>
      <c r="G76" s="2"/>
      <c r="H76" s="3" t="s">
        <v>152</v>
      </c>
      <c r="I76" s="3" t="s">
        <v>149</v>
      </c>
      <c r="J76" s="2">
        <f t="shared" si="1"/>
        <v>1</v>
      </c>
      <c r="K76" s="2" t="str">
        <f t="array" ref="K76">"""\cite{" &amp; TEXTJOIN(", ",TRUE,IF(ISNUMBER(SEARCH(H76,$C$2:$C1058)),$B$2:$B1058,"")) &amp; "}"""</f>
        <v>"\cite{palomba2016diffusion}"</v>
      </c>
      <c r="M76" s="2"/>
      <c r="N76" s="2"/>
      <c r="O76" s="2"/>
      <c r="P76" s="2"/>
      <c r="Q76" s="2"/>
      <c r="R76" s="2"/>
      <c r="S76" s="2"/>
      <c r="T76" s="2"/>
      <c r="U76" s="2"/>
      <c r="V76" s="2"/>
      <c r="W76" s="2"/>
      <c r="X76" s="2"/>
      <c r="Y76" s="5"/>
      <c r="Z76" s="2"/>
      <c r="AA76" s="2"/>
      <c r="AB76" s="2"/>
      <c r="AC76" s="2"/>
      <c r="AD76" s="2"/>
      <c r="AE76" s="2"/>
      <c r="AF76" s="2"/>
      <c r="AG76" s="2"/>
      <c r="AH76" s="2"/>
      <c r="AI76" s="2"/>
    </row>
    <row r="77">
      <c r="A77" s="2"/>
      <c r="B77" s="2"/>
      <c r="C77" s="2"/>
      <c r="D77" s="2"/>
      <c r="E77" s="2"/>
      <c r="F77" s="2"/>
      <c r="G77" s="2"/>
      <c r="H77" s="3" t="s">
        <v>153</v>
      </c>
      <c r="I77" s="3" t="s">
        <v>149</v>
      </c>
      <c r="J77" s="2">
        <f t="shared" si="1"/>
        <v>1</v>
      </c>
      <c r="K77" s="2" t="str">
        <f t="array" ref="K77">"""\cite{" &amp; TEXTJOIN(", ",TRUE,IF(ISNUMBER(SEARCH(H77,$C$2:$C1058)),$B$2:$B1058,"")) &amp; "}"""</f>
        <v>"\cite{palomba2016diffusion}"</v>
      </c>
      <c r="M77" s="2"/>
      <c r="N77" s="2"/>
      <c r="O77" s="2"/>
      <c r="P77" s="2"/>
      <c r="Q77" s="2"/>
      <c r="R77" s="2"/>
      <c r="S77" s="2"/>
      <c r="T77" s="2"/>
      <c r="U77" s="2"/>
      <c r="V77" s="2"/>
      <c r="W77" s="2"/>
      <c r="X77" s="2"/>
      <c r="Y77" s="5"/>
      <c r="Z77" s="2"/>
      <c r="AA77" s="2"/>
      <c r="AB77" s="2"/>
      <c r="AC77" s="2"/>
      <c r="AD77" s="2"/>
      <c r="AE77" s="2"/>
      <c r="AF77" s="2"/>
      <c r="AG77" s="2"/>
      <c r="AH77" s="2"/>
      <c r="AI77" s="2"/>
    </row>
    <row r="78">
      <c r="A78" s="2"/>
      <c r="B78" s="2"/>
      <c r="C78" s="2"/>
      <c r="D78" s="2"/>
      <c r="E78" s="2"/>
      <c r="F78" s="2"/>
      <c r="G78" s="2"/>
      <c r="H78" s="3" t="s">
        <v>154</v>
      </c>
      <c r="I78" s="3" t="s">
        <v>149</v>
      </c>
      <c r="J78" s="2">
        <f t="shared" si="1"/>
        <v>1</v>
      </c>
      <c r="K78" s="2" t="str">
        <f t="array" ref="K78">"""\cite{" &amp; TEXTJOIN(", ",TRUE,IF(ISNUMBER(SEARCH(H78,$C$2:$C1058)),$B$2:$B1058,"")) &amp; "}"""</f>
        <v>"\cite{palomba2016diffusion}"</v>
      </c>
      <c r="M78" s="2"/>
      <c r="N78" s="2"/>
      <c r="O78" s="2"/>
      <c r="P78" s="2"/>
      <c r="Q78" s="2"/>
      <c r="R78" s="2"/>
      <c r="S78" s="2"/>
      <c r="T78" s="2"/>
      <c r="U78" s="2"/>
      <c r="V78" s="2"/>
      <c r="W78" s="2"/>
      <c r="X78" s="2"/>
      <c r="Y78" s="5"/>
      <c r="Z78" s="2"/>
      <c r="AA78" s="2"/>
      <c r="AB78" s="2"/>
      <c r="AC78" s="2"/>
      <c r="AD78" s="2"/>
      <c r="AE78" s="2"/>
      <c r="AF78" s="2"/>
      <c r="AG78" s="2"/>
      <c r="AH78" s="2"/>
      <c r="AI78" s="2"/>
    </row>
    <row r="79">
      <c r="A79" s="2"/>
      <c r="B79" s="2"/>
      <c r="C79" s="2"/>
      <c r="D79" s="2"/>
      <c r="E79" s="2"/>
      <c r="F79" s="2"/>
      <c r="G79" s="2"/>
      <c r="H79" s="3" t="s">
        <v>155</v>
      </c>
      <c r="I79" s="3" t="s">
        <v>149</v>
      </c>
      <c r="J79" s="2">
        <f t="shared" si="1"/>
        <v>1</v>
      </c>
      <c r="K79" s="2" t="str">
        <f t="array" ref="K79">"""\cite{" &amp; TEXTJOIN(", ",TRUE,IF(ISNUMBER(SEARCH(H79,$C$2:$C1058)),$B$2:$B1058,"")) &amp; "}"""</f>
        <v>"\cite{palomba2016diffusion}"</v>
      </c>
      <c r="M79" s="2"/>
      <c r="N79" s="2"/>
      <c r="O79" s="2"/>
      <c r="P79" s="2"/>
      <c r="Q79" s="2"/>
      <c r="R79" s="2"/>
      <c r="S79" s="2"/>
      <c r="T79" s="2"/>
      <c r="U79" s="2"/>
      <c r="V79" s="2"/>
      <c r="W79" s="2"/>
      <c r="X79" s="2"/>
      <c r="Y79" s="5"/>
      <c r="Z79" s="2"/>
      <c r="AA79" s="2"/>
      <c r="AB79" s="2"/>
      <c r="AC79" s="2"/>
      <c r="AD79" s="2"/>
      <c r="AE79" s="2"/>
      <c r="AF79" s="2"/>
      <c r="AG79" s="2"/>
      <c r="AH79" s="2"/>
      <c r="AI79" s="2"/>
    </row>
    <row r="80">
      <c r="A80" s="2"/>
      <c r="B80" s="2"/>
      <c r="C80" s="2"/>
      <c r="D80" s="2"/>
      <c r="E80" s="2"/>
      <c r="F80" s="2"/>
      <c r="G80" s="2"/>
      <c r="H80" s="3" t="s">
        <v>156</v>
      </c>
      <c r="I80" s="3" t="s">
        <v>149</v>
      </c>
      <c r="J80" s="2">
        <f t="shared" si="1"/>
        <v>1</v>
      </c>
      <c r="K80" s="2" t="str">
        <f t="array" ref="K80">"""\cite{" &amp; TEXTJOIN(", ",TRUE,IF(ISNUMBER(SEARCH(H80,$C$2:$C1058)),$B$2:$B1058,"")) &amp; "}"""</f>
        <v>"\cite{palomba2016diffusion}"</v>
      </c>
      <c r="M80" s="2"/>
      <c r="N80" s="2"/>
      <c r="O80" s="2"/>
      <c r="P80" s="2"/>
      <c r="Q80" s="2"/>
      <c r="R80" s="2"/>
      <c r="S80" s="2"/>
      <c r="T80" s="2"/>
      <c r="U80" s="2"/>
      <c r="V80" s="2"/>
      <c r="W80" s="2"/>
      <c r="X80" s="2"/>
      <c r="Y80" s="5"/>
      <c r="Z80" s="2"/>
      <c r="AA80" s="2"/>
      <c r="AB80" s="2"/>
      <c r="AC80" s="2"/>
      <c r="AD80" s="2"/>
      <c r="AE80" s="2"/>
      <c r="AF80" s="2"/>
      <c r="AG80" s="2"/>
      <c r="AH80" s="2"/>
      <c r="AI80" s="2"/>
    </row>
    <row r="81">
      <c r="A81" s="2"/>
      <c r="B81" s="2"/>
      <c r="C81" s="2"/>
      <c r="D81" s="2"/>
      <c r="E81" s="2"/>
      <c r="F81" s="2"/>
      <c r="G81" s="2"/>
      <c r="H81" s="2"/>
      <c r="I81" s="2"/>
      <c r="J81" s="2"/>
      <c r="K81" s="2"/>
      <c r="M81" s="2"/>
      <c r="N81" s="2"/>
      <c r="O81" s="2"/>
      <c r="P81" s="2"/>
      <c r="Q81" s="2"/>
      <c r="R81" s="2"/>
      <c r="S81" s="2"/>
      <c r="T81" s="2"/>
      <c r="U81" s="2"/>
      <c r="V81" s="2"/>
      <c r="W81" s="2"/>
      <c r="X81" s="2"/>
      <c r="Y81" s="5"/>
      <c r="Z81" s="2"/>
      <c r="AA81" s="2"/>
      <c r="AB81" s="2"/>
      <c r="AC81" s="2"/>
      <c r="AD81" s="2"/>
      <c r="AE81" s="2"/>
      <c r="AF81" s="2"/>
      <c r="AG81" s="2"/>
      <c r="AH81" s="2"/>
      <c r="AI81" s="2"/>
    </row>
    <row r="82">
      <c r="A82" s="2"/>
      <c r="B82" s="2"/>
      <c r="C82" s="2"/>
      <c r="D82" s="2"/>
      <c r="E82" s="2"/>
      <c r="F82" s="2"/>
      <c r="G82" s="2"/>
      <c r="H82" s="2"/>
      <c r="I82" s="2"/>
      <c r="J82" s="2"/>
      <c r="K82" s="2"/>
      <c r="M82" s="2"/>
      <c r="N82" s="2"/>
      <c r="O82" s="2"/>
      <c r="P82" s="2"/>
      <c r="Q82" s="2"/>
      <c r="R82" s="2"/>
      <c r="S82" s="2"/>
      <c r="T82" s="2"/>
      <c r="U82" s="2"/>
      <c r="V82" s="2"/>
      <c r="W82" s="2"/>
      <c r="X82" s="2"/>
      <c r="Y82" s="5"/>
      <c r="Z82" s="2"/>
      <c r="AA82" s="2"/>
      <c r="AB82" s="2"/>
      <c r="AC82" s="2"/>
      <c r="AD82" s="2"/>
      <c r="AE82" s="2"/>
      <c r="AF82" s="2"/>
      <c r="AG82" s="2"/>
      <c r="AH82" s="2"/>
      <c r="AI82" s="2"/>
    </row>
    <row r="83">
      <c r="A83" s="2"/>
      <c r="B83" s="2"/>
      <c r="C83" s="2"/>
      <c r="D83" s="2"/>
      <c r="E83" s="2"/>
      <c r="F83" s="2"/>
      <c r="G83" s="2"/>
      <c r="H83" s="2"/>
      <c r="I83" s="2"/>
      <c r="J83" s="2"/>
      <c r="K83" s="2"/>
      <c r="M83" s="2"/>
      <c r="N83" s="2"/>
      <c r="O83" s="2"/>
      <c r="P83" s="2"/>
      <c r="Q83" s="2"/>
      <c r="R83" s="2"/>
      <c r="S83" s="2"/>
      <c r="T83" s="2"/>
      <c r="U83" s="2"/>
      <c r="V83" s="2"/>
      <c r="W83" s="2"/>
      <c r="X83" s="2"/>
      <c r="Y83" s="5"/>
      <c r="Z83" s="2"/>
      <c r="AA83" s="2"/>
      <c r="AB83" s="2"/>
      <c r="AC83" s="2"/>
      <c r="AD83" s="2"/>
      <c r="AE83" s="2"/>
      <c r="AF83" s="2"/>
      <c r="AG83" s="2"/>
      <c r="AH83" s="2"/>
      <c r="AI83" s="2"/>
    </row>
    <row r="84">
      <c r="A84" s="2"/>
      <c r="B84" s="2"/>
      <c r="C84" s="2"/>
      <c r="D84" s="2"/>
      <c r="E84" s="2"/>
      <c r="F84" s="2"/>
      <c r="G84" s="2"/>
      <c r="H84" s="2"/>
      <c r="I84" s="2"/>
      <c r="J84" s="2"/>
      <c r="K84" s="2"/>
      <c r="M84" s="2"/>
      <c r="N84" s="2"/>
      <c r="O84" s="2"/>
      <c r="P84" s="2"/>
      <c r="Q84" s="2"/>
      <c r="R84" s="2"/>
      <c r="S84" s="2"/>
      <c r="T84" s="2"/>
      <c r="U84" s="2"/>
      <c r="V84" s="2"/>
      <c r="W84" s="2"/>
      <c r="X84" s="2"/>
      <c r="Y84" s="5"/>
      <c r="Z84" s="2"/>
      <c r="AA84" s="2"/>
      <c r="AB84" s="2"/>
      <c r="AC84" s="2"/>
      <c r="AD84" s="2"/>
      <c r="AE84" s="2"/>
      <c r="AF84" s="2"/>
      <c r="AG84" s="2"/>
      <c r="AH84" s="2"/>
      <c r="AI84" s="2"/>
    </row>
    <row r="85">
      <c r="A85" s="2"/>
      <c r="B85" s="2"/>
      <c r="C85" s="2"/>
      <c r="D85" s="2"/>
      <c r="E85" s="2"/>
      <c r="F85" s="2"/>
      <c r="G85" s="2"/>
      <c r="H85" s="2"/>
      <c r="I85" s="2"/>
      <c r="J85" s="2"/>
      <c r="K85" s="2"/>
      <c r="M85" s="2"/>
      <c r="N85" s="2"/>
      <c r="O85" s="2"/>
      <c r="P85" s="2"/>
      <c r="Q85" s="2"/>
      <c r="R85" s="2"/>
      <c r="S85" s="2"/>
      <c r="T85" s="2"/>
      <c r="U85" s="2"/>
      <c r="V85" s="2"/>
      <c r="W85" s="2"/>
      <c r="X85" s="2"/>
      <c r="Y85" s="5"/>
      <c r="Z85" s="2"/>
      <c r="AA85" s="2"/>
      <c r="AB85" s="2"/>
      <c r="AC85" s="2"/>
      <c r="AD85" s="2"/>
      <c r="AE85" s="2"/>
      <c r="AF85" s="2"/>
      <c r="AG85" s="2"/>
      <c r="AH85" s="2"/>
      <c r="AI85" s="2"/>
    </row>
    <row r="86">
      <c r="A86" s="2"/>
      <c r="B86" s="2"/>
      <c r="C86" s="2"/>
      <c r="D86" s="2"/>
      <c r="E86" s="2"/>
      <c r="F86" s="2"/>
      <c r="G86" s="2"/>
      <c r="H86" s="2"/>
      <c r="I86" s="2"/>
      <c r="J86" s="2"/>
      <c r="K86" s="2"/>
      <c r="M86" s="2"/>
      <c r="N86" s="2"/>
      <c r="O86" s="2"/>
      <c r="P86" s="2"/>
      <c r="Q86" s="2"/>
      <c r="R86" s="2"/>
      <c r="S86" s="2"/>
      <c r="T86" s="2"/>
      <c r="U86" s="2"/>
      <c r="V86" s="2"/>
      <c r="W86" s="2"/>
      <c r="X86" s="2"/>
      <c r="Y86" s="5"/>
      <c r="Z86" s="2"/>
      <c r="AA86" s="2"/>
      <c r="AB86" s="2"/>
      <c r="AC86" s="2"/>
      <c r="AD86" s="2"/>
      <c r="AE86" s="2"/>
      <c r="AF86" s="2"/>
      <c r="AG86" s="2"/>
      <c r="AH86" s="2"/>
      <c r="AI86" s="2"/>
    </row>
    <row r="87">
      <c r="A87" s="2"/>
      <c r="B87" s="2"/>
      <c r="C87" s="2"/>
      <c r="D87" s="2"/>
      <c r="E87" s="2"/>
      <c r="F87" s="2"/>
      <c r="G87" s="2"/>
      <c r="H87" s="2"/>
      <c r="I87" s="2"/>
      <c r="J87" s="2"/>
      <c r="K87" s="2"/>
      <c r="M87" s="2"/>
      <c r="N87" s="2"/>
      <c r="O87" s="2"/>
      <c r="P87" s="2"/>
      <c r="Q87" s="2"/>
      <c r="R87" s="2"/>
      <c r="S87" s="2"/>
      <c r="T87" s="2"/>
      <c r="U87" s="2"/>
      <c r="V87" s="2"/>
      <c r="W87" s="2"/>
      <c r="X87" s="2"/>
      <c r="Y87" s="5"/>
      <c r="Z87" s="2"/>
      <c r="AA87" s="2"/>
      <c r="AB87" s="2"/>
      <c r="AC87" s="2"/>
      <c r="AD87" s="2"/>
      <c r="AE87" s="2"/>
      <c r="AF87" s="2"/>
      <c r="AG87" s="2"/>
      <c r="AH87" s="2"/>
      <c r="AI87" s="2"/>
    </row>
    <row r="88">
      <c r="A88" s="2"/>
      <c r="B88" s="2"/>
      <c r="C88" s="2"/>
      <c r="D88" s="2"/>
      <c r="E88" s="2"/>
      <c r="F88" s="2"/>
      <c r="G88" s="2"/>
      <c r="H88" s="2"/>
      <c r="I88" s="2"/>
      <c r="J88" s="2"/>
      <c r="K88" s="2"/>
      <c r="M88" s="2"/>
      <c r="N88" s="2"/>
      <c r="O88" s="2"/>
      <c r="P88" s="2"/>
      <c r="Q88" s="2"/>
      <c r="R88" s="2"/>
      <c r="S88" s="2"/>
      <c r="T88" s="2"/>
      <c r="U88" s="2"/>
      <c r="V88" s="2"/>
      <c r="W88" s="2"/>
      <c r="X88" s="2"/>
      <c r="Y88" s="5"/>
      <c r="Z88" s="2"/>
      <c r="AA88" s="2"/>
      <c r="AB88" s="2"/>
      <c r="AC88" s="2"/>
      <c r="AD88" s="2"/>
      <c r="AE88" s="2"/>
      <c r="AF88" s="2"/>
      <c r="AG88" s="2"/>
      <c r="AH88" s="2"/>
      <c r="AI88" s="2"/>
    </row>
    <row r="89">
      <c r="A89" s="2"/>
      <c r="B89" s="2"/>
      <c r="C89" s="2"/>
      <c r="D89" s="2"/>
      <c r="E89" s="2"/>
      <c r="F89" s="2"/>
      <c r="G89" s="2"/>
      <c r="H89" s="2"/>
      <c r="I89" s="2"/>
      <c r="J89" s="2"/>
      <c r="K89" s="2"/>
      <c r="M89" s="2"/>
      <c r="N89" s="2"/>
      <c r="O89" s="2"/>
      <c r="P89" s="2"/>
      <c r="Q89" s="2"/>
      <c r="R89" s="2"/>
      <c r="S89" s="2"/>
      <c r="T89" s="2"/>
      <c r="U89" s="2"/>
      <c r="V89" s="2"/>
      <c r="W89" s="2"/>
      <c r="X89" s="2"/>
      <c r="Y89" s="5"/>
      <c r="Z89" s="2"/>
      <c r="AA89" s="2"/>
      <c r="AB89" s="2"/>
      <c r="AC89" s="2"/>
      <c r="AD89" s="2"/>
      <c r="AE89" s="2"/>
      <c r="AF89" s="2"/>
      <c r="AG89" s="2"/>
      <c r="AH89" s="2"/>
      <c r="AI89" s="2"/>
    </row>
    <row r="90">
      <c r="A90" s="2"/>
      <c r="B90" s="2"/>
      <c r="C90" s="2"/>
      <c r="D90" s="2"/>
      <c r="E90" s="2"/>
      <c r="F90" s="2"/>
      <c r="G90" s="2"/>
      <c r="H90" s="2"/>
      <c r="I90" s="2"/>
      <c r="J90" s="2"/>
      <c r="K90" s="2"/>
      <c r="M90" s="2"/>
      <c r="N90" s="2"/>
      <c r="O90" s="2"/>
      <c r="P90" s="2"/>
      <c r="Q90" s="2"/>
      <c r="R90" s="2"/>
      <c r="S90" s="2"/>
      <c r="T90" s="2"/>
      <c r="U90" s="2"/>
      <c r="V90" s="2"/>
      <c r="W90" s="2"/>
      <c r="X90" s="2"/>
      <c r="Y90" s="5"/>
      <c r="Z90" s="2"/>
      <c r="AA90" s="2"/>
      <c r="AB90" s="2"/>
      <c r="AC90" s="2"/>
      <c r="AD90" s="2"/>
      <c r="AE90" s="2"/>
      <c r="AF90" s="2"/>
      <c r="AG90" s="2"/>
      <c r="AH90" s="2"/>
      <c r="AI90" s="2"/>
    </row>
    <row r="91">
      <c r="A91" s="2"/>
      <c r="B91" s="2"/>
      <c r="C91" s="2"/>
      <c r="D91" s="2"/>
      <c r="E91" s="2"/>
      <c r="F91" s="2"/>
      <c r="G91" s="2"/>
      <c r="H91" s="2"/>
      <c r="I91" s="2"/>
      <c r="J91" s="2"/>
      <c r="K91" s="2"/>
      <c r="M91" s="2"/>
      <c r="N91" s="2"/>
      <c r="O91" s="2"/>
      <c r="P91" s="2"/>
      <c r="Q91" s="2"/>
      <c r="R91" s="2"/>
      <c r="S91" s="2"/>
      <c r="T91" s="2"/>
      <c r="U91" s="2"/>
      <c r="V91" s="2"/>
      <c r="W91" s="2"/>
      <c r="X91" s="2"/>
      <c r="Y91" s="5"/>
      <c r="Z91" s="2"/>
      <c r="AA91" s="2"/>
      <c r="AB91" s="2"/>
      <c r="AC91" s="2"/>
      <c r="AD91" s="2"/>
      <c r="AE91" s="2"/>
      <c r="AF91" s="2"/>
      <c r="AG91" s="2"/>
      <c r="AH91" s="2"/>
      <c r="AI91" s="2"/>
    </row>
    <row r="92">
      <c r="A92" s="2"/>
      <c r="B92" s="2"/>
      <c r="C92" s="2"/>
      <c r="D92" s="2"/>
      <c r="E92" s="2"/>
      <c r="F92" s="2"/>
      <c r="G92" s="2"/>
      <c r="H92" s="2"/>
      <c r="I92" s="2"/>
      <c r="J92" s="2"/>
      <c r="K92" s="2"/>
      <c r="M92" s="2"/>
      <c r="N92" s="2"/>
      <c r="O92" s="2"/>
      <c r="P92" s="2"/>
      <c r="Q92" s="2"/>
      <c r="R92" s="2"/>
      <c r="S92" s="2"/>
      <c r="T92" s="2"/>
      <c r="U92" s="2"/>
      <c r="V92" s="2"/>
      <c r="W92" s="2"/>
      <c r="X92" s="2"/>
      <c r="Y92" s="5"/>
      <c r="Z92" s="2"/>
      <c r="AA92" s="2"/>
      <c r="AB92" s="2"/>
      <c r="AC92" s="2"/>
      <c r="AD92" s="2"/>
      <c r="AE92" s="2"/>
      <c r="AF92" s="2"/>
      <c r="AG92" s="2"/>
      <c r="AH92" s="2"/>
      <c r="AI92" s="2"/>
    </row>
    <row r="93">
      <c r="A93" s="2"/>
      <c r="B93" s="2"/>
      <c r="C93" s="2"/>
      <c r="D93" s="2"/>
      <c r="E93" s="2"/>
      <c r="F93" s="2"/>
      <c r="G93" s="2"/>
      <c r="H93" s="2"/>
      <c r="I93" s="2"/>
      <c r="J93" s="2"/>
      <c r="K93" s="2"/>
      <c r="M93" s="2"/>
      <c r="N93" s="2"/>
      <c r="O93" s="2"/>
      <c r="P93" s="2"/>
      <c r="Q93" s="2"/>
      <c r="R93" s="2"/>
      <c r="S93" s="2"/>
      <c r="T93" s="2"/>
      <c r="U93" s="2"/>
      <c r="V93" s="2"/>
      <c r="W93" s="2"/>
      <c r="X93" s="2"/>
      <c r="Y93" s="5"/>
      <c r="Z93" s="2"/>
      <c r="AA93" s="2"/>
      <c r="AB93" s="2"/>
      <c r="AC93" s="2"/>
      <c r="AD93" s="2"/>
      <c r="AE93" s="2"/>
      <c r="AF93" s="2"/>
      <c r="AG93" s="2"/>
      <c r="AH93" s="2"/>
      <c r="AI93" s="2"/>
    </row>
    <row r="94">
      <c r="A94" s="2"/>
      <c r="B94" s="2"/>
      <c r="C94" s="2"/>
      <c r="D94" s="2"/>
      <c r="E94" s="2"/>
      <c r="F94" s="2"/>
      <c r="G94" s="2"/>
      <c r="H94" s="2"/>
      <c r="I94" s="2"/>
      <c r="J94" s="2"/>
      <c r="K94" s="2"/>
      <c r="M94" s="2"/>
      <c r="N94" s="2"/>
      <c r="O94" s="2"/>
      <c r="P94" s="2"/>
      <c r="Q94" s="2"/>
      <c r="R94" s="2"/>
      <c r="S94" s="2"/>
      <c r="T94" s="2"/>
      <c r="U94" s="2"/>
      <c r="V94" s="2"/>
      <c r="W94" s="2"/>
      <c r="X94" s="2"/>
      <c r="Y94" s="5"/>
      <c r="Z94" s="2"/>
      <c r="AA94" s="2"/>
      <c r="AB94" s="2"/>
      <c r="AC94" s="2"/>
      <c r="AD94" s="2"/>
      <c r="AE94" s="2"/>
      <c r="AF94" s="2"/>
      <c r="AG94" s="2"/>
      <c r="AH94" s="2"/>
      <c r="AI94" s="2"/>
    </row>
    <row r="95">
      <c r="A95" s="2"/>
      <c r="B95" s="2"/>
      <c r="C95" s="2"/>
      <c r="D95" s="2"/>
      <c r="E95" s="2"/>
      <c r="F95" s="2"/>
      <c r="G95" s="2"/>
      <c r="H95" s="2"/>
      <c r="I95" s="2"/>
      <c r="J95" s="2"/>
      <c r="K95" s="2"/>
      <c r="M95" s="2"/>
      <c r="N95" s="2"/>
      <c r="O95" s="2"/>
      <c r="P95" s="2"/>
      <c r="Q95" s="2"/>
      <c r="R95" s="2"/>
      <c r="S95" s="2"/>
      <c r="T95" s="2"/>
      <c r="U95" s="2"/>
      <c r="V95" s="2"/>
      <c r="W95" s="2"/>
      <c r="X95" s="2"/>
      <c r="Y95" s="5"/>
      <c r="Z95" s="2"/>
      <c r="AA95" s="2"/>
      <c r="AB95" s="2"/>
      <c r="AC95" s="2"/>
      <c r="AD95" s="2"/>
      <c r="AE95" s="2"/>
      <c r="AF95" s="2"/>
      <c r="AG95" s="2"/>
      <c r="AH95" s="2"/>
      <c r="AI95" s="2"/>
    </row>
    <row r="96">
      <c r="A96" s="2"/>
      <c r="B96" s="2"/>
      <c r="C96" s="2"/>
      <c r="D96" s="2"/>
      <c r="E96" s="2"/>
      <c r="F96" s="2"/>
      <c r="G96" s="2"/>
      <c r="H96" s="2"/>
      <c r="I96" s="2"/>
      <c r="J96" s="2"/>
      <c r="K96" s="2"/>
      <c r="M96" s="2"/>
      <c r="N96" s="2"/>
      <c r="O96" s="2"/>
      <c r="P96" s="2"/>
      <c r="Q96" s="2"/>
      <c r="R96" s="2"/>
      <c r="S96" s="2"/>
      <c r="T96" s="2"/>
      <c r="U96" s="2"/>
      <c r="V96" s="2"/>
      <c r="W96" s="2"/>
      <c r="X96" s="2"/>
      <c r="Y96" s="5"/>
      <c r="Z96" s="2"/>
      <c r="AA96" s="2"/>
      <c r="AB96" s="2"/>
      <c r="AC96" s="2"/>
      <c r="AD96" s="2"/>
      <c r="AE96" s="2"/>
      <c r="AF96" s="2"/>
      <c r="AG96" s="2"/>
      <c r="AH96" s="2"/>
      <c r="AI96" s="2"/>
    </row>
    <row r="97">
      <c r="A97" s="2"/>
      <c r="B97" s="2"/>
      <c r="C97" s="2"/>
      <c r="D97" s="2"/>
      <c r="E97" s="2"/>
      <c r="F97" s="2"/>
      <c r="G97" s="2"/>
      <c r="H97" s="2"/>
      <c r="I97" s="2"/>
      <c r="J97" s="2"/>
      <c r="K97" s="2"/>
      <c r="M97" s="2"/>
      <c r="N97" s="2"/>
      <c r="O97" s="2"/>
      <c r="P97" s="2"/>
      <c r="Q97" s="2"/>
      <c r="R97" s="2"/>
      <c r="S97" s="2"/>
      <c r="T97" s="2"/>
      <c r="U97" s="2"/>
      <c r="V97" s="2"/>
      <c r="W97" s="2"/>
      <c r="X97" s="2"/>
      <c r="Y97" s="5"/>
      <c r="Z97" s="2"/>
      <c r="AA97" s="2"/>
      <c r="AB97" s="2"/>
      <c r="AC97" s="2"/>
      <c r="AD97" s="2"/>
      <c r="AE97" s="2"/>
      <c r="AF97" s="2"/>
      <c r="AG97" s="2"/>
      <c r="AH97" s="2"/>
      <c r="AI97" s="2"/>
    </row>
    <row r="98">
      <c r="A98" s="2"/>
      <c r="B98" s="2"/>
      <c r="C98" s="2"/>
      <c r="D98" s="2"/>
      <c r="E98" s="2"/>
      <c r="F98" s="2"/>
      <c r="G98" s="2"/>
      <c r="H98" s="2"/>
      <c r="I98" s="2"/>
      <c r="J98" s="2"/>
      <c r="K98" s="2"/>
      <c r="M98" s="2"/>
      <c r="N98" s="2"/>
      <c r="O98" s="2"/>
      <c r="P98" s="2"/>
      <c r="Q98" s="2"/>
      <c r="R98" s="2"/>
      <c r="S98" s="2"/>
      <c r="T98" s="2"/>
      <c r="U98" s="2"/>
      <c r="V98" s="2"/>
      <c r="W98" s="2"/>
      <c r="X98" s="2"/>
      <c r="Y98" s="5"/>
      <c r="Z98" s="2"/>
      <c r="AA98" s="2"/>
      <c r="AB98" s="2"/>
      <c r="AC98" s="2"/>
      <c r="AD98" s="2"/>
      <c r="AE98" s="2"/>
      <c r="AF98" s="2"/>
      <c r="AG98" s="2"/>
      <c r="AH98" s="2"/>
      <c r="AI98" s="2"/>
    </row>
    <row r="99">
      <c r="A99" s="2"/>
      <c r="B99" s="2"/>
      <c r="C99" s="2"/>
      <c r="D99" s="2"/>
      <c r="E99" s="2"/>
      <c r="F99" s="2"/>
      <c r="G99" s="2"/>
      <c r="H99" s="2"/>
      <c r="I99" s="2"/>
      <c r="J99" s="2"/>
      <c r="K99" s="2"/>
      <c r="M99" s="2"/>
      <c r="N99" s="2"/>
      <c r="O99" s="2"/>
      <c r="P99" s="2"/>
      <c r="Q99" s="2"/>
      <c r="R99" s="2"/>
      <c r="S99" s="2"/>
      <c r="T99" s="2"/>
      <c r="U99" s="2"/>
      <c r="V99" s="2"/>
      <c r="W99" s="2"/>
      <c r="X99" s="2"/>
      <c r="Y99" s="5"/>
      <c r="Z99" s="2"/>
      <c r="AA99" s="2"/>
      <c r="AB99" s="2"/>
      <c r="AC99" s="2"/>
      <c r="AD99" s="2"/>
      <c r="AE99" s="2"/>
      <c r="AF99" s="2"/>
      <c r="AG99" s="2"/>
      <c r="AH99" s="2"/>
      <c r="AI99" s="2"/>
    </row>
    <row r="100">
      <c r="A100" s="2"/>
      <c r="B100" s="2"/>
      <c r="C100" s="2"/>
      <c r="D100" s="2"/>
      <c r="E100" s="2"/>
      <c r="F100" s="2"/>
      <c r="G100" s="2"/>
      <c r="H100" s="2"/>
      <c r="I100" s="2"/>
      <c r="J100" s="2"/>
      <c r="K100" s="2"/>
      <c r="M100" s="2"/>
      <c r="N100" s="2"/>
      <c r="O100" s="2"/>
      <c r="P100" s="2"/>
      <c r="Q100" s="2"/>
      <c r="R100" s="2"/>
      <c r="S100" s="2"/>
      <c r="T100" s="2"/>
      <c r="U100" s="2"/>
      <c r="V100" s="2"/>
      <c r="W100" s="2"/>
      <c r="X100" s="2"/>
      <c r="Y100" s="5"/>
      <c r="Z100" s="2"/>
      <c r="AA100" s="2"/>
      <c r="AB100" s="2"/>
      <c r="AC100" s="2"/>
      <c r="AD100" s="2"/>
      <c r="AE100" s="2"/>
      <c r="AF100" s="2"/>
      <c r="AG100" s="2"/>
      <c r="AH100" s="2"/>
      <c r="AI100" s="2"/>
    </row>
    <row r="101">
      <c r="A101" s="2"/>
      <c r="B101" s="2"/>
      <c r="C101" s="2"/>
      <c r="D101" s="2"/>
      <c r="E101" s="2"/>
      <c r="F101" s="2"/>
      <c r="G101" s="2"/>
      <c r="H101" s="2"/>
      <c r="I101" s="2"/>
      <c r="J101" s="2"/>
      <c r="K101" s="2"/>
      <c r="M101" s="2"/>
      <c r="N101" s="2"/>
      <c r="O101" s="2"/>
      <c r="P101" s="2"/>
      <c r="Q101" s="2"/>
      <c r="R101" s="2"/>
      <c r="S101" s="2"/>
      <c r="T101" s="2"/>
      <c r="U101" s="2"/>
      <c r="V101" s="2"/>
      <c r="W101" s="2"/>
      <c r="X101" s="2"/>
      <c r="Y101" s="5"/>
      <c r="Z101" s="2"/>
      <c r="AA101" s="2"/>
      <c r="AB101" s="2"/>
      <c r="AC101" s="2"/>
      <c r="AD101" s="2"/>
      <c r="AE101" s="2"/>
      <c r="AF101" s="2"/>
      <c r="AG101" s="2"/>
      <c r="AH101" s="2"/>
      <c r="AI101" s="2"/>
    </row>
    <row r="102">
      <c r="A102" s="2"/>
      <c r="B102" s="2"/>
      <c r="C102" s="2"/>
      <c r="D102" s="2"/>
      <c r="E102" s="2"/>
      <c r="F102" s="2"/>
      <c r="G102" s="2"/>
      <c r="H102" s="2"/>
      <c r="I102" s="2"/>
      <c r="J102" s="2"/>
      <c r="K102" s="2"/>
      <c r="M102" s="2"/>
      <c r="N102" s="2"/>
      <c r="O102" s="2"/>
      <c r="P102" s="2"/>
      <c r="Q102" s="2"/>
      <c r="R102" s="2"/>
      <c r="S102" s="2"/>
      <c r="T102" s="2"/>
      <c r="U102" s="2"/>
      <c r="V102" s="2"/>
      <c r="W102" s="2"/>
      <c r="X102" s="2"/>
      <c r="Y102" s="5"/>
      <c r="Z102" s="2"/>
      <c r="AA102" s="2"/>
      <c r="AB102" s="2"/>
      <c r="AC102" s="2"/>
      <c r="AD102" s="2"/>
      <c r="AE102" s="2"/>
      <c r="AF102" s="2"/>
      <c r="AG102" s="2"/>
      <c r="AH102" s="2"/>
      <c r="AI102" s="2"/>
    </row>
    <row r="103">
      <c r="A103" s="2"/>
      <c r="B103" s="2"/>
      <c r="C103" s="2"/>
      <c r="D103" s="2"/>
      <c r="E103" s="2"/>
      <c r="F103" s="2"/>
      <c r="G103" s="2"/>
      <c r="H103" s="2"/>
      <c r="I103" s="2"/>
      <c r="J103" s="2"/>
      <c r="K103" s="2"/>
      <c r="M103" s="2"/>
      <c r="N103" s="2"/>
      <c r="O103" s="2"/>
      <c r="P103" s="2"/>
      <c r="Q103" s="2"/>
      <c r="R103" s="2"/>
      <c r="S103" s="2"/>
      <c r="T103" s="2"/>
      <c r="U103" s="2"/>
      <c r="V103" s="2"/>
      <c r="W103" s="2"/>
      <c r="X103" s="2"/>
      <c r="Y103" s="5"/>
      <c r="Z103" s="2"/>
      <c r="AA103" s="2"/>
      <c r="AB103" s="2"/>
      <c r="AC103" s="2"/>
      <c r="AD103" s="2"/>
      <c r="AE103" s="2"/>
      <c r="AF103" s="2"/>
      <c r="AG103" s="2"/>
      <c r="AH103" s="2"/>
      <c r="AI103" s="2"/>
    </row>
    <row r="104">
      <c r="A104" s="2"/>
      <c r="B104" s="2"/>
      <c r="C104" s="2"/>
      <c r="D104" s="2"/>
      <c r="E104" s="2"/>
      <c r="F104" s="2"/>
      <c r="G104" s="2"/>
      <c r="H104" s="2"/>
      <c r="I104" s="2"/>
      <c r="J104" s="2"/>
      <c r="K104" s="2"/>
      <c r="M104" s="2"/>
      <c r="N104" s="2"/>
      <c r="O104" s="2"/>
      <c r="P104" s="2"/>
      <c r="Q104" s="2"/>
      <c r="R104" s="2"/>
      <c r="S104" s="2"/>
      <c r="T104" s="2"/>
      <c r="U104" s="2"/>
      <c r="V104" s="2"/>
      <c r="W104" s="2"/>
      <c r="X104" s="2"/>
      <c r="Y104" s="5"/>
      <c r="Z104" s="2"/>
      <c r="AA104" s="2"/>
      <c r="AB104" s="2"/>
      <c r="AC104" s="2"/>
      <c r="AD104" s="2"/>
      <c r="AE104" s="2"/>
      <c r="AF104" s="2"/>
      <c r="AG104" s="2"/>
      <c r="AH104" s="2"/>
      <c r="AI104" s="2"/>
    </row>
    <row r="105">
      <c r="A105" s="2"/>
      <c r="B105" s="2"/>
      <c r="C105" s="2"/>
      <c r="D105" s="2"/>
      <c r="E105" s="2"/>
      <c r="F105" s="2"/>
      <c r="G105" s="2"/>
      <c r="H105" s="2"/>
      <c r="I105" s="2"/>
      <c r="J105" s="2"/>
      <c r="K105" s="2"/>
      <c r="M105" s="2"/>
      <c r="N105" s="2"/>
      <c r="O105" s="2"/>
      <c r="P105" s="2"/>
      <c r="Q105" s="2"/>
      <c r="R105" s="2"/>
      <c r="S105" s="2"/>
      <c r="T105" s="2"/>
      <c r="U105" s="2"/>
      <c r="V105" s="2"/>
      <c r="W105" s="2"/>
      <c r="X105" s="2"/>
      <c r="Y105" s="5"/>
      <c r="Z105" s="2"/>
      <c r="AA105" s="2"/>
      <c r="AB105" s="2"/>
      <c r="AC105" s="2"/>
      <c r="AD105" s="2"/>
      <c r="AE105" s="2"/>
      <c r="AF105" s="2"/>
      <c r="AG105" s="2"/>
      <c r="AH105" s="2"/>
      <c r="AI105" s="2"/>
    </row>
    <row r="106">
      <c r="A106" s="2"/>
      <c r="B106" s="2"/>
      <c r="C106" s="2"/>
      <c r="D106" s="2"/>
      <c r="E106" s="2"/>
      <c r="F106" s="2"/>
      <c r="G106" s="2"/>
      <c r="H106" s="2"/>
      <c r="I106" s="2"/>
      <c r="J106" s="2"/>
      <c r="K106" s="2"/>
      <c r="M106" s="2"/>
      <c r="N106" s="2"/>
      <c r="O106" s="2"/>
      <c r="P106" s="2"/>
      <c r="Q106" s="2"/>
      <c r="R106" s="2"/>
      <c r="S106" s="2"/>
      <c r="T106" s="2"/>
      <c r="U106" s="2"/>
      <c r="V106" s="2"/>
      <c r="W106" s="2"/>
      <c r="X106" s="2"/>
      <c r="Y106" s="5"/>
      <c r="Z106" s="2"/>
      <c r="AA106" s="2"/>
      <c r="AB106" s="2"/>
      <c r="AC106" s="2"/>
      <c r="AD106" s="2"/>
      <c r="AE106" s="2"/>
      <c r="AF106" s="2"/>
      <c r="AG106" s="2"/>
      <c r="AH106" s="2"/>
      <c r="AI106" s="2"/>
    </row>
    <row r="107">
      <c r="A107" s="2"/>
      <c r="B107" s="2"/>
      <c r="C107" s="2"/>
      <c r="D107" s="2"/>
      <c r="E107" s="2"/>
      <c r="F107" s="2"/>
      <c r="G107" s="2"/>
      <c r="H107" s="2"/>
      <c r="I107" s="2"/>
      <c r="J107" s="2"/>
      <c r="K107" s="2"/>
      <c r="M107" s="2"/>
      <c r="N107" s="2"/>
      <c r="O107" s="2"/>
      <c r="P107" s="2"/>
      <c r="Q107" s="2"/>
      <c r="R107" s="2"/>
      <c r="S107" s="2"/>
      <c r="T107" s="2"/>
      <c r="U107" s="2"/>
      <c r="V107" s="2"/>
      <c r="W107" s="2"/>
      <c r="X107" s="2"/>
      <c r="Y107" s="5"/>
      <c r="Z107" s="2"/>
      <c r="AA107" s="2"/>
      <c r="AB107" s="2"/>
      <c r="AC107" s="2"/>
      <c r="AD107" s="2"/>
      <c r="AE107" s="2"/>
      <c r="AF107" s="2"/>
      <c r="AG107" s="2"/>
      <c r="AH107" s="2"/>
      <c r="AI107" s="2"/>
    </row>
    <row r="108">
      <c r="A108" s="2"/>
      <c r="B108" s="2"/>
      <c r="C108" s="2"/>
      <c r="D108" s="2"/>
      <c r="E108" s="2"/>
      <c r="F108" s="2"/>
      <c r="G108" s="2"/>
      <c r="H108" s="5"/>
      <c r="I108" s="5"/>
      <c r="J108" s="5"/>
      <c r="K108" s="5"/>
      <c r="M108" s="2"/>
      <c r="N108" s="2"/>
      <c r="O108" s="2"/>
      <c r="P108" s="2"/>
      <c r="Q108" s="2"/>
      <c r="R108" s="2"/>
      <c r="S108" s="2"/>
      <c r="T108" s="2"/>
      <c r="U108" s="2"/>
      <c r="V108" s="2"/>
      <c r="W108" s="2"/>
      <c r="X108" s="2"/>
      <c r="Y108" s="5"/>
      <c r="Z108" s="2"/>
      <c r="AA108" s="2"/>
      <c r="AB108" s="2"/>
      <c r="AC108" s="2"/>
      <c r="AD108" s="2"/>
      <c r="AE108" s="2"/>
      <c r="AF108" s="2"/>
      <c r="AG108" s="2"/>
      <c r="AH108" s="2"/>
      <c r="AI108" s="2"/>
    </row>
    <row r="109">
      <c r="A109" s="2"/>
      <c r="B109" s="2"/>
      <c r="C109" s="2"/>
      <c r="D109" s="2"/>
      <c r="E109" s="2"/>
      <c r="F109" s="2"/>
      <c r="G109" s="2"/>
      <c r="H109" s="2"/>
      <c r="I109" s="2"/>
      <c r="J109" s="2"/>
      <c r="K109" s="2"/>
      <c r="M109" s="2"/>
      <c r="N109" s="2"/>
      <c r="O109" s="2"/>
      <c r="P109" s="2"/>
      <c r="Q109" s="2"/>
      <c r="R109" s="2"/>
      <c r="S109" s="2"/>
      <c r="T109" s="2"/>
      <c r="U109" s="2"/>
      <c r="V109" s="2"/>
      <c r="W109" s="2"/>
      <c r="X109" s="2"/>
      <c r="Y109" s="5"/>
      <c r="Z109" s="2"/>
      <c r="AA109" s="2"/>
      <c r="AB109" s="2"/>
      <c r="AC109" s="2"/>
      <c r="AD109" s="2"/>
      <c r="AE109" s="2"/>
      <c r="AF109" s="2"/>
      <c r="AG109" s="2"/>
      <c r="AH109" s="2"/>
      <c r="AI109" s="2"/>
    </row>
    <row r="110">
      <c r="A110" s="2"/>
      <c r="B110" s="2"/>
      <c r="C110" s="2"/>
      <c r="D110" s="2"/>
      <c r="E110" s="2"/>
      <c r="F110" s="2"/>
      <c r="G110" s="2"/>
      <c r="H110" s="2"/>
      <c r="I110" s="2"/>
      <c r="J110" s="2"/>
      <c r="K110" s="2"/>
      <c r="M110" s="2"/>
      <c r="N110" s="2"/>
      <c r="O110" s="2"/>
      <c r="P110" s="2"/>
      <c r="Q110" s="2"/>
      <c r="R110" s="2"/>
      <c r="S110" s="2"/>
      <c r="T110" s="2"/>
      <c r="U110" s="2"/>
      <c r="V110" s="2"/>
      <c r="W110" s="2"/>
      <c r="X110" s="2"/>
      <c r="Y110" s="5"/>
      <c r="Z110" s="2"/>
      <c r="AA110" s="2"/>
      <c r="AB110" s="2"/>
      <c r="AC110" s="2"/>
      <c r="AD110" s="2"/>
      <c r="AE110" s="2"/>
      <c r="AF110" s="2"/>
      <c r="AG110" s="2"/>
      <c r="AH110" s="2"/>
      <c r="AI110" s="2"/>
    </row>
    <row r="111">
      <c r="A111" s="2"/>
      <c r="B111" s="2"/>
      <c r="C111" s="2"/>
      <c r="D111" s="2"/>
      <c r="E111" s="2"/>
      <c r="F111" s="2"/>
      <c r="G111" s="2"/>
      <c r="H111" s="2"/>
      <c r="I111" s="2"/>
      <c r="J111" s="2"/>
      <c r="K111" s="2"/>
      <c r="M111" s="2"/>
      <c r="N111" s="2"/>
      <c r="O111" s="2"/>
      <c r="P111" s="2"/>
      <c r="Q111" s="2"/>
      <c r="R111" s="2"/>
      <c r="S111" s="2"/>
      <c r="T111" s="2"/>
      <c r="U111" s="2"/>
      <c r="V111" s="2"/>
      <c r="W111" s="2"/>
      <c r="X111" s="2"/>
      <c r="Y111" s="5"/>
      <c r="Z111" s="2"/>
      <c r="AA111" s="2"/>
      <c r="AB111" s="2"/>
      <c r="AC111" s="2"/>
      <c r="AD111" s="2"/>
      <c r="AE111" s="2"/>
      <c r="AF111" s="2"/>
      <c r="AG111" s="2"/>
      <c r="AH111" s="2"/>
      <c r="AI111" s="2"/>
    </row>
    <row r="112">
      <c r="A112" s="2"/>
      <c r="B112" s="2"/>
      <c r="C112" s="2"/>
      <c r="D112" s="2"/>
      <c r="E112" s="2"/>
      <c r="F112" s="2"/>
      <c r="G112" s="2"/>
      <c r="H112" s="2"/>
      <c r="I112" s="2"/>
      <c r="J112" s="2"/>
      <c r="K112" s="2"/>
      <c r="M112" s="2"/>
      <c r="N112" s="2"/>
      <c r="O112" s="2"/>
      <c r="P112" s="2"/>
      <c r="Q112" s="2"/>
      <c r="R112" s="2"/>
      <c r="S112" s="2"/>
      <c r="T112" s="2"/>
      <c r="U112" s="2"/>
      <c r="V112" s="2"/>
      <c r="W112" s="2"/>
      <c r="X112" s="2"/>
      <c r="Y112" s="5"/>
      <c r="Z112" s="2"/>
      <c r="AA112" s="2"/>
      <c r="AB112" s="2"/>
      <c r="AC112" s="2"/>
      <c r="AD112" s="2"/>
      <c r="AE112" s="2"/>
      <c r="AF112" s="2"/>
      <c r="AG112" s="2"/>
      <c r="AH112" s="2"/>
      <c r="AI112" s="2"/>
    </row>
    <row r="113">
      <c r="A113" s="2"/>
      <c r="B113" s="2"/>
      <c r="C113" s="2"/>
      <c r="D113" s="2"/>
      <c r="E113" s="2"/>
      <c r="F113" s="2"/>
      <c r="G113" s="2"/>
      <c r="H113" s="2"/>
      <c r="I113" s="2"/>
      <c r="J113" s="2"/>
      <c r="K113" s="2"/>
      <c r="M113" s="2"/>
      <c r="N113" s="2"/>
      <c r="O113" s="2"/>
      <c r="P113" s="2"/>
      <c r="Q113" s="2"/>
      <c r="R113" s="2"/>
      <c r="S113" s="2"/>
      <c r="T113" s="2"/>
      <c r="U113" s="2"/>
      <c r="V113" s="2"/>
      <c r="W113" s="2"/>
      <c r="X113" s="2"/>
      <c r="Y113" s="5"/>
      <c r="Z113" s="2"/>
      <c r="AA113" s="2"/>
      <c r="AB113" s="2"/>
      <c r="AC113" s="2"/>
      <c r="AD113" s="2"/>
      <c r="AE113" s="2"/>
      <c r="AF113" s="2"/>
      <c r="AG113" s="2"/>
      <c r="AH113" s="2"/>
      <c r="AI113" s="2"/>
    </row>
    <row r="114">
      <c r="A114" s="2"/>
      <c r="B114" s="2"/>
      <c r="C114" s="2"/>
      <c r="D114" s="2"/>
      <c r="E114" s="2"/>
      <c r="F114" s="2"/>
      <c r="G114" s="2"/>
      <c r="H114" s="2"/>
      <c r="I114" s="2"/>
      <c r="J114" s="2"/>
      <c r="K114" s="2"/>
      <c r="M114" s="2"/>
      <c r="N114" s="2"/>
      <c r="O114" s="2"/>
      <c r="P114" s="2"/>
      <c r="Q114" s="2"/>
      <c r="R114" s="2"/>
      <c r="S114" s="2"/>
      <c r="T114" s="2"/>
      <c r="U114" s="2"/>
      <c r="V114" s="2"/>
      <c r="W114" s="2"/>
      <c r="X114" s="2"/>
      <c r="Y114" s="5"/>
      <c r="Z114" s="2"/>
      <c r="AA114" s="2"/>
      <c r="AB114" s="2"/>
      <c r="AC114" s="2"/>
      <c r="AD114" s="2"/>
      <c r="AE114" s="2"/>
      <c r="AF114" s="2"/>
      <c r="AG114" s="2"/>
      <c r="AH114" s="2"/>
      <c r="AI114" s="2"/>
    </row>
    <row r="115">
      <c r="A115" s="2"/>
      <c r="B115" s="2"/>
      <c r="C115" s="2"/>
      <c r="D115" s="2"/>
      <c r="E115" s="2"/>
      <c r="F115" s="2"/>
      <c r="G115" s="2"/>
      <c r="H115" s="2"/>
      <c r="I115" s="2"/>
      <c r="J115" s="2"/>
      <c r="K115" s="2"/>
      <c r="M115" s="2"/>
      <c r="N115" s="2"/>
      <c r="O115" s="2"/>
      <c r="P115" s="2"/>
      <c r="Q115" s="2"/>
      <c r="R115" s="2"/>
      <c r="S115" s="2"/>
      <c r="T115" s="2"/>
      <c r="U115" s="2"/>
      <c r="V115" s="2"/>
      <c r="W115" s="2"/>
      <c r="X115" s="2"/>
      <c r="Y115" s="5"/>
      <c r="Z115" s="2"/>
      <c r="AA115" s="2"/>
      <c r="AB115" s="2"/>
      <c r="AC115" s="2"/>
      <c r="AD115" s="2"/>
      <c r="AE115" s="2"/>
      <c r="AF115" s="2"/>
      <c r="AG115" s="2"/>
      <c r="AH115" s="2"/>
      <c r="AI115" s="2"/>
    </row>
    <row r="116">
      <c r="A116" s="2"/>
      <c r="B116" s="2"/>
      <c r="C116" s="2"/>
      <c r="D116" s="5"/>
      <c r="E116" s="5"/>
      <c r="F116" s="5"/>
      <c r="G116" s="2"/>
      <c r="H116" s="2"/>
      <c r="I116" s="2"/>
      <c r="J116" s="2"/>
      <c r="K116" s="2"/>
      <c r="M116" s="5"/>
      <c r="N116" s="5"/>
      <c r="O116" s="2"/>
      <c r="P116" s="2"/>
      <c r="Q116" s="2"/>
      <c r="R116" s="2"/>
      <c r="S116" s="2"/>
      <c r="T116" s="2"/>
      <c r="U116" s="2"/>
      <c r="V116" s="2"/>
      <c r="W116" s="2"/>
      <c r="X116" s="2"/>
      <c r="Y116" s="5"/>
      <c r="Z116" s="2"/>
      <c r="AA116" s="2"/>
      <c r="AB116" s="2"/>
      <c r="AC116" s="2"/>
      <c r="AD116" s="2"/>
      <c r="AE116" s="2"/>
      <c r="AF116" s="2"/>
      <c r="AG116" s="2"/>
      <c r="AH116" s="2"/>
      <c r="AI116" s="2"/>
    </row>
    <row r="117">
      <c r="A117" s="2"/>
      <c r="B117" s="2"/>
      <c r="C117" s="2"/>
      <c r="D117" s="2"/>
      <c r="E117" s="2"/>
      <c r="F117" s="2"/>
      <c r="G117" s="5"/>
      <c r="H117" s="2"/>
      <c r="I117" s="2"/>
      <c r="J117" s="2"/>
      <c r="K117" s="2"/>
      <c r="M117" s="2"/>
      <c r="N117" s="2"/>
      <c r="O117" s="5"/>
      <c r="P117" s="5"/>
      <c r="Q117" s="5"/>
      <c r="R117" s="5"/>
      <c r="S117" s="5"/>
      <c r="T117" s="5"/>
      <c r="U117" s="5"/>
      <c r="V117" s="5"/>
      <c r="W117" s="5"/>
      <c r="X117" s="5"/>
      <c r="Y117" s="2"/>
      <c r="Z117" s="2"/>
      <c r="AA117" s="2"/>
      <c r="AB117" s="2"/>
      <c r="AC117" s="2"/>
      <c r="AD117" s="2"/>
      <c r="AE117" s="2"/>
      <c r="AF117" s="2"/>
      <c r="AG117" s="2"/>
      <c r="AH117" s="2"/>
      <c r="AI117" s="2"/>
    </row>
    <row r="118">
      <c r="A118" s="2"/>
      <c r="B118" s="2"/>
      <c r="C118" s="2"/>
      <c r="D118" s="2"/>
      <c r="E118" s="2"/>
      <c r="F118" s="2"/>
      <c r="G118" s="2"/>
      <c r="H118" s="2"/>
      <c r="I118" s="2"/>
      <c r="J118" s="2"/>
      <c r="K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c r="A978" s="2"/>
      <c r="B978" s="2"/>
      <c r="C978" s="2"/>
      <c r="D978" s="2"/>
      <c r="E978" s="2"/>
      <c r="F978" s="2"/>
      <c r="G978" s="2"/>
      <c r="H978" s="2"/>
      <c r="I978" s="2"/>
      <c r="J978" s="2"/>
      <c r="K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c r="A979" s="2"/>
      <c r="B979" s="2"/>
      <c r="C979" s="2"/>
      <c r="D979" s="2"/>
      <c r="E979" s="2"/>
      <c r="F979" s="2"/>
      <c r="G979" s="2"/>
      <c r="H979" s="2"/>
      <c r="I979" s="2"/>
      <c r="J979" s="2"/>
      <c r="K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c r="A980" s="2"/>
      <c r="B980" s="2"/>
      <c r="C980" s="2"/>
      <c r="D980" s="2"/>
      <c r="E980" s="2"/>
      <c r="F980" s="2"/>
      <c r="G980" s="2"/>
      <c r="H980" s="2"/>
      <c r="I980" s="2"/>
      <c r="J980" s="2"/>
      <c r="K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c r="A981" s="2"/>
      <c r="B981" s="2"/>
      <c r="C981" s="2"/>
      <c r="D981" s="2"/>
      <c r="E981" s="2"/>
      <c r="F981" s="2"/>
      <c r="G981" s="2"/>
      <c r="H981" s="2"/>
      <c r="I981" s="2"/>
      <c r="J981" s="2"/>
      <c r="K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c r="A982" s="2"/>
      <c r="B982" s="2"/>
      <c r="C982" s="2"/>
      <c r="D982" s="2"/>
      <c r="E982" s="2"/>
      <c r="F982" s="2"/>
      <c r="G982" s="2"/>
      <c r="H982" s="2"/>
      <c r="I982" s="2"/>
      <c r="J982" s="2"/>
      <c r="K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c r="A983" s="2"/>
      <c r="B983" s="2"/>
      <c r="C983" s="2"/>
      <c r="D983" s="2"/>
      <c r="E983" s="2"/>
      <c r="F983" s="2"/>
      <c r="G983" s="2"/>
      <c r="H983" s="2"/>
      <c r="I983" s="2"/>
      <c r="J983" s="2"/>
      <c r="K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c r="A984" s="2"/>
      <c r="B984" s="2"/>
      <c r="C984" s="2"/>
      <c r="D984" s="2"/>
      <c r="E984" s="2"/>
      <c r="F984" s="2"/>
      <c r="G984" s="2"/>
      <c r="H984" s="2"/>
      <c r="I984" s="2"/>
      <c r="J984" s="2"/>
      <c r="K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c r="A985" s="2"/>
      <c r="B985" s="2"/>
      <c r="C985" s="2"/>
      <c r="D985" s="2"/>
      <c r="E985" s="2"/>
      <c r="F985" s="2"/>
      <c r="G985" s="2"/>
      <c r="H985" s="2"/>
      <c r="I985" s="2"/>
      <c r="J985" s="2"/>
      <c r="K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c r="A986" s="2"/>
      <c r="B986" s="2"/>
      <c r="C986" s="2"/>
      <c r="D986" s="2"/>
      <c r="E986" s="2"/>
      <c r="F986" s="2"/>
      <c r="G986" s="2"/>
      <c r="H986" s="2"/>
      <c r="I986" s="2"/>
      <c r="J986" s="2"/>
      <c r="K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c r="A987" s="2"/>
      <c r="B987" s="2"/>
      <c r="C987" s="2"/>
      <c r="D987" s="2"/>
      <c r="E987" s="2"/>
      <c r="F987" s="2"/>
      <c r="G987" s="2"/>
      <c r="H987" s="2"/>
      <c r="I987" s="2"/>
      <c r="J987" s="2"/>
      <c r="K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c r="A988" s="2"/>
      <c r="B988" s="2"/>
      <c r="C988" s="2"/>
      <c r="D988" s="2"/>
      <c r="E988" s="2"/>
      <c r="F988" s="2"/>
      <c r="G988" s="2"/>
      <c r="H988" s="2"/>
      <c r="I988" s="2"/>
      <c r="J988" s="2"/>
      <c r="K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c r="A989" s="2"/>
      <c r="B989" s="2"/>
      <c r="C989" s="2"/>
      <c r="D989" s="2"/>
      <c r="E989" s="2"/>
      <c r="F989" s="2"/>
      <c r="G989" s="2"/>
      <c r="H989" s="2"/>
      <c r="I989" s="2"/>
      <c r="J989" s="2"/>
      <c r="K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c r="A990" s="2"/>
      <c r="B990" s="2"/>
      <c r="C990" s="2"/>
      <c r="D990" s="2"/>
      <c r="E990" s="2"/>
      <c r="F990" s="2"/>
      <c r="G990" s="2"/>
      <c r="H990" s="2"/>
      <c r="I990" s="2"/>
      <c r="J990" s="2"/>
      <c r="K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c r="A991" s="2"/>
      <c r="B991" s="2"/>
      <c r="C991" s="2"/>
      <c r="D991" s="2"/>
      <c r="E991" s="2"/>
      <c r="F991" s="2"/>
      <c r="G991" s="2"/>
      <c r="H991" s="2"/>
      <c r="I991" s="2"/>
      <c r="J991" s="2"/>
      <c r="K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c r="A992" s="2"/>
      <c r="B992" s="2"/>
      <c r="C992" s="2"/>
      <c r="D992" s="2"/>
      <c r="E992" s="2"/>
      <c r="F992" s="2"/>
      <c r="G992" s="2"/>
      <c r="H992" s="2"/>
      <c r="I992" s="2"/>
      <c r="J992" s="2"/>
      <c r="K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c r="A993" s="2"/>
      <c r="B993" s="2"/>
      <c r="C993" s="2"/>
      <c r="D993" s="2"/>
      <c r="E993" s="2"/>
      <c r="F993" s="2"/>
      <c r="G993" s="2"/>
      <c r="H993" s="2"/>
      <c r="I993" s="2"/>
      <c r="J993" s="2"/>
      <c r="K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c r="A994" s="2"/>
      <c r="B994" s="2"/>
      <c r="C994" s="2"/>
      <c r="D994" s="2"/>
      <c r="E994" s="2"/>
      <c r="F994" s="2"/>
      <c r="G994" s="2"/>
      <c r="H994" s="2"/>
      <c r="I994" s="2"/>
      <c r="J994" s="2"/>
      <c r="K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c r="A995" s="2"/>
      <c r="B995" s="2"/>
      <c r="C995" s="2"/>
      <c r="D995" s="2"/>
      <c r="E995" s="2"/>
      <c r="F995" s="2"/>
      <c r="G995" s="2"/>
      <c r="H995" s="2"/>
      <c r="I995" s="2"/>
      <c r="J995" s="2"/>
      <c r="K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c r="A996" s="2"/>
      <c r="B996" s="2"/>
      <c r="C996" s="2"/>
      <c r="D996" s="2"/>
      <c r="E996" s="2"/>
      <c r="F996" s="2"/>
      <c r="G996" s="2"/>
      <c r="H996" s="2"/>
      <c r="I996" s="2"/>
      <c r="J996" s="2"/>
      <c r="K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c r="A997" s="2"/>
      <c r="B997" s="2"/>
      <c r="C997" s="2"/>
      <c r="D997" s="2"/>
      <c r="E997" s="2"/>
      <c r="F997" s="2"/>
      <c r="G997" s="2"/>
      <c r="H997" s="2"/>
      <c r="I997" s="2"/>
      <c r="J997" s="2"/>
      <c r="K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c r="A998" s="2"/>
      <c r="B998" s="2"/>
      <c r="C998" s="2"/>
      <c r="D998" s="2"/>
      <c r="E998" s="2"/>
      <c r="F998" s="2"/>
      <c r="G998" s="2"/>
      <c r="H998" s="2"/>
      <c r="I998" s="2"/>
      <c r="J998" s="2"/>
      <c r="K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c r="A999" s="2"/>
      <c r="B999" s="2"/>
      <c r="C999" s="2"/>
      <c r="D999" s="2"/>
      <c r="E999" s="2"/>
      <c r="F999" s="2"/>
      <c r="G999" s="2"/>
      <c r="H999" s="2"/>
      <c r="I999" s="2"/>
      <c r="J999" s="2"/>
      <c r="K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c r="A1000" s="2"/>
      <c r="B1000" s="2"/>
      <c r="C1000" s="2"/>
      <c r="D1000" s="2"/>
      <c r="E1000" s="2"/>
      <c r="F1000" s="2"/>
      <c r="G1000" s="2"/>
      <c r="H1000" s="2"/>
      <c r="I1000" s="2"/>
      <c r="J1000" s="2"/>
      <c r="K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c r="A1001" s="2"/>
      <c r="B1001" s="2"/>
      <c r="C1001" s="2"/>
      <c r="D1001" s="2"/>
      <c r="E1001" s="2"/>
      <c r="F1001" s="2"/>
      <c r="G1001" s="2"/>
      <c r="H1001" s="2"/>
      <c r="I1001" s="2"/>
      <c r="J1001" s="2"/>
      <c r="K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c r="A1002" s="2"/>
      <c r="B1002" s="2"/>
      <c r="C1002" s="2"/>
      <c r="D1002" s="2"/>
      <c r="E1002" s="2"/>
      <c r="F1002" s="2"/>
      <c r="G1002" s="2"/>
      <c r="H1002" s="2"/>
      <c r="I1002" s="2"/>
      <c r="J1002" s="2"/>
      <c r="K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c r="A1003" s="2"/>
      <c r="B1003" s="2"/>
      <c r="C1003" s="2"/>
      <c r="D1003" s="2"/>
      <c r="E1003" s="2"/>
      <c r="F1003" s="2"/>
      <c r="G1003" s="2"/>
      <c r="H1003" s="2"/>
      <c r="I1003" s="2"/>
      <c r="J1003" s="2"/>
      <c r="K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c r="A1004" s="2"/>
      <c r="B1004" s="2"/>
      <c r="C1004" s="2"/>
      <c r="D1004" s="2"/>
      <c r="E1004" s="2"/>
      <c r="F1004" s="2"/>
      <c r="G1004" s="2"/>
      <c r="H1004" s="2"/>
      <c r="I1004" s="2"/>
      <c r="J1004" s="2"/>
      <c r="K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row r="1005">
      <c r="A1005" s="2"/>
      <c r="B1005" s="2"/>
      <c r="C1005" s="2"/>
      <c r="D1005" s="2"/>
      <c r="E1005" s="2"/>
      <c r="F1005" s="2"/>
      <c r="G1005" s="2"/>
      <c r="H1005" s="2"/>
      <c r="I1005" s="2"/>
      <c r="J1005" s="2"/>
      <c r="K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row>
    <row r="1006">
      <c r="A1006" s="2"/>
      <c r="B1006" s="2"/>
      <c r="C1006" s="2"/>
      <c r="D1006" s="2"/>
      <c r="E1006" s="2"/>
      <c r="F1006" s="2"/>
      <c r="G1006" s="2"/>
      <c r="H1006" s="2"/>
      <c r="I1006" s="2"/>
      <c r="J1006" s="2"/>
      <c r="K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row>
    <row r="1007">
      <c r="A1007" s="2"/>
      <c r="B1007" s="2"/>
      <c r="C1007" s="2"/>
      <c r="D1007" s="2"/>
      <c r="E1007" s="2"/>
      <c r="F1007" s="2"/>
      <c r="G1007" s="2"/>
      <c r="H1007" s="2"/>
      <c r="I1007" s="2"/>
      <c r="J1007" s="2"/>
      <c r="K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row>
    <row r="1008">
      <c r="A1008" s="2"/>
      <c r="B1008" s="2"/>
      <c r="C1008" s="2"/>
      <c r="D1008" s="2"/>
      <c r="E1008" s="2"/>
      <c r="F1008" s="2"/>
      <c r="G1008" s="2"/>
      <c r="H1008" s="2"/>
      <c r="I1008" s="2"/>
      <c r="J1008" s="2"/>
      <c r="K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row>
    <row r="1009">
      <c r="A1009" s="2"/>
      <c r="B1009" s="2"/>
      <c r="C1009" s="2"/>
      <c r="D1009" s="2"/>
      <c r="E1009" s="2"/>
      <c r="F1009" s="2"/>
      <c r="G1009" s="2"/>
      <c r="H1009" s="2"/>
      <c r="I1009" s="2"/>
      <c r="J1009" s="2"/>
      <c r="K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row>
    <row r="1010">
      <c r="A1010" s="2"/>
      <c r="B1010" s="2"/>
      <c r="C1010" s="2"/>
      <c r="D1010" s="2"/>
      <c r="E1010" s="2"/>
      <c r="F1010" s="2"/>
      <c r="G1010" s="2"/>
      <c r="H1010" s="2"/>
      <c r="I1010" s="2"/>
      <c r="J1010" s="2"/>
      <c r="K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row>
    <row r="1011">
      <c r="A1011" s="2"/>
      <c r="B1011" s="2"/>
      <c r="C1011" s="2"/>
      <c r="D1011" s="2"/>
      <c r="E1011" s="2"/>
      <c r="F1011" s="2"/>
      <c r="G1011" s="2"/>
      <c r="H1011" s="2"/>
      <c r="I1011" s="2"/>
      <c r="J1011" s="2"/>
      <c r="K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row>
    <row r="1012">
      <c r="A1012" s="2"/>
      <c r="B1012" s="2"/>
      <c r="C1012" s="2"/>
      <c r="D1012" s="2"/>
      <c r="E1012" s="2"/>
      <c r="F1012" s="2"/>
      <c r="G1012" s="2"/>
      <c r="H1012" s="2"/>
      <c r="I1012" s="2"/>
      <c r="J1012" s="2"/>
      <c r="K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row>
    <row r="1013">
      <c r="A1013" s="2"/>
      <c r="B1013" s="2"/>
      <c r="C1013" s="2"/>
      <c r="D1013" s="2"/>
      <c r="E1013" s="2"/>
      <c r="F1013" s="2"/>
      <c r="G1013" s="2"/>
      <c r="H1013" s="2"/>
      <c r="I1013" s="2"/>
      <c r="J1013" s="2"/>
      <c r="K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row>
    <row r="1014">
      <c r="A1014" s="2"/>
      <c r="B1014" s="2"/>
      <c r="C1014" s="2"/>
      <c r="D1014" s="2"/>
      <c r="E1014" s="2"/>
      <c r="F1014" s="2"/>
      <c r="G1014" s="2"/>
      <c r="H1014" s="2"/>
      <c r="I1014" s="2"/>
      <c r="J1014" s="2"/>
      <c r="K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row>
    <row r="1015">
      <c r="A1015" s="2"/>
      <c r="B1015" s="2"/>
      <c r="C1015" s="2"/>
      <c r="D1015" s="2"/>
      <c r="E1015" s="2"/>
      <c r="F1015" s="2"/>
      <c r="G1015" s="2"/>
      <c r="H1015" s="2"/>
      <c r="I1015" s="2"/>
      <c r="J1015" s="2"/>
      <c r="K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row>
    <row r="1016">
      <c r="A1016" s="2"/>
      <c r="B1016" s="2"/>
      <c r="C1016" s="2"/>
      <c r="D1016" s="2"/>
      <c r="E1016" s="2"/>
      <c r="F1016" s="2"/>
      <c r="G1016" s="2"/>
      <c r="H1016" s="2"/>
      <c r="I1016" s="2"/>
      <c r="J1016" s="2"/>
      <c r="K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row>
    <row r="1017">
      <c r="A1017" s="2"/>
      <c r="B1017" s="2"/>
      <c r="C1017" s="2"/>
      <c r="D1017" s="2"/>
      <c r="E1017" s="2"/>
      <c r="F1017" s="2"/>
      <c r="G1017" s="2"/>
      <c r="H1017" s="2"/>
      <c r="I1017" s="2"/>
      <c r="J1017" s="2"/>
      <c r="K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row>
    <row r="1018">
      <c r="A1018" s="2"/>
      <c r="B1018" s="2"/>
      <c r="C1018" s="2"/>
      <c r="D1018" s="2"/>
      <c r="E1018" s="2"/>
      <c r="F1018" s="2"/>
      <c r="G1018" s="2"/>
      <c r="H1018" s="2"/>
      <c r="I1018" s="2"/>
      <c r="J1018" s="2"/>
      <c r="K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row>
    <row r="1019">
      <c r="A1019" s="2"/>
      <c r="B1019" s="2"/>
      <c r="C1019" s="2"/>
      <c r="D1019" s="2"/>
      <c r="E1019" s="2"/>
      <c r="F1019" s="2"/>
      <c r="G1019" s="2"/>
      <c r="H1019" s="2"/>
      <c r="I1019" s="2"/>
      <c r="J1019" s="2"/>
      <c r="K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row>
    <row r="1020">
      <c r="A1020" s="2"/>
      <c r="B1020" s="2"/>
      <c r="C1020" s="2"/>
      <c r="D1020" s="2"/>
      <c r="E1020" s="2"/>
      <c r="F1020" s="2"/>
      <c r="G1020" s="2"/>
      <c r="H1020" s="2"/>
      <c r="I1020" s="2"/>
      <c r="J1020" s="2"/>
      <c r="K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row>
    <row r="1021">
      <c r="A1021" s="2"/>
      <c r="B1021" s="2"/>
      <c r="C1021" s="2"/>
      <c r="D1021" s="2"/>
      <c r="E1021" s="2"/>
      <c r="F1021" s="2"/>
      <c r="G1021" s="2"/>
      <c r="H1021" s="2"/>
      <c r="I1021" s="2"/>
      <c r="J1021" s="2"/>
      <c r="K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row>
    <row r="1022">
      <c r="A1022" s="2"/>
      <c r="B1022" s="2"/>
      <c r="C1022" s="2"/>
      <c r="D1022" s="2"/>
      <c r="E1022" s="2"/>
      <c r="F1022" s="2"/>
      <c r="G1022" s="2"/>
      <c r="H1022" s="2"/>
      <c r="I1022" s="2"/>
      <c r="J1022" s="2"/>
      <c r="K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row>
    <row r="1023">
      <c r="A1023" s="2"/>
      <c r="B1023" s="2"/>
      <c r="C1023" s="2"/>
      <c r="D1023" s="2"/>
      <c r="E1023" s="2"/>
      <c r="F1023" s="2"/>
      <c r="G1023" s="2"/>
      <c r="H1023" s="2"/>
      <c r="I1023" s="2"/>
      <c r="J1023" s="2"/>
      <c r="K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row>
    <row r="1024">
      <c r="A1024" s="2"/>
      <c r="B1024" s="2"/>
      <c r="C1024" s="2"/>
      <c r="D1024" s="2"/>
      <c r="E1024" s="2"/>
      <c r="F1024" s="2"/>
      <c r="G1024" s="2"/>
      <c r="H1024" s="2"/>
      <c r="I1024" s="2"/>
      <c r="J1024" s="2"/>
      <c r="K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row>
    <row r="1025">
      <c r="A1025" s="2"/>
      <c r="B1025" s="2"/>
      <c r="C1025" s="2"/>
      <c r="D1025" s="2"/>
      <c r="E1025" s="2"/>
      <c r="F1025" s="2"/>
      <c r="G1025" s="2"/>
      <c r="H1025" s="2"/>
      <c r="I1025" s="2"/>
      <c r="J1025" s="2"/>
      <c r="K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row>
    <row r="1026">
      <c r="A1026" s="2"/>
      <c r="B1026" s="2"/>
      <c r="C1026" s="2"/>
      <c r="D1026" s="2"/>
      <c r="E1026" s="2"/>
      <c r="F1026" s="2"/>
      <c r="G1026" s="2"/>
      <c r="H1026" s="2"/>
      <c r="I1026" s="2"/>
      <c r="J1026" s="2"/>
      <c r="K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row>
    <row r="1027">
      <c r="A1027" s="2"/>
      <c r="B1027" s="2"/>
      <c r="C1027" s="2"/>
      <c r="D1027" s="2"/>
      <c r="E1027" s="2"/>
      <c r="F1027" s="2"/>
      <c r="G1027" s="2"/>
      <c r="H1027" s="2"/>
      <c r="I1027" s="2"/>
      <c r="J1027" s="2"/>
      <c r="K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row>
    <row r="1028">
      <c r="A1028" s="2"/>
      <c r="B1028" s="2"/>
      <c r="C1028" s="2"/>
      <c r="D1028" s="2"/>
      <c r="E1028" s="2"/>
      <c r="F1028" s="2"/>
      <c r="G1028" s="2"/>
      <c r="H1028" s="2"/>
      <c r="I1028" s="2"/>
      <c r="J1028" s="2"/>
      <c r="K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row>
    <row r="1029">
      <c r="A1029" s="2"/>
      <c r="B1029" s="2"/>
      <c r="C1029" s="2"/>
      <c r="D1029" s="2"/>
      <c r="E1029" s="2"/>
      <c r="F1029" s="2"/>
      <c r="G1029" s="2"/>
      <c r="H1029" s="2"/>
      <c r="I1029" s="2"/>
      <c r="J1029" s="2"/>
      <c r="K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row>
    <row r="1030">
      <c r="A1030" s="2"/>
      <c r="B1030" s="2"/>
      <c r="C1030" s="2"/>
      <c r="D1030" s="2"/>
      <c r="E1030" s="2"/>
      <c r="F1030" s="2"/>
      <c r="G1030" s="2"/>
      <c r="H1030" s="2"/>
      <c r="I1030" s="2"/>
      <c r="J1030" s="2"/>
      <c r="K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row>
    <row r="1031">
      <c r="A1031" s="2"/>
      <c r="B1031" s="2"/>
      <c r="C1031" s="2"/>
      <c r="D1031" s="2"/>
      <c r="E1031" s="2"/>
      <c r="F1031" s="2"/>
      <c r="G1031" s="2"/>
      <c r="H1031" s="2"/>
      <c r="I1031" s="2"/>
      <c r="J1031" s="2"/>
      <c r="K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row>
    <row r="1032">
      <c r="A1032" s="2"/>
      <c r="B1032" s="2"/>
      <c r="C1032" s="2"/>
      <c r="D1032" s="2"/>
      <c r="E1032" s="2"/>
      <c r="F1032" s="2"/>
      <c r="G1032" s="2"/>
      <c r="H1032" s="2"/>
      <c r="I1032" s="2"/>
      <c r="J1032" s="2"/>
      <c r="K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row>
    <row r="1033">
      <c r="A1033" s="2"/>
      <c r="B1033" s="2"/>
      <c r="C1033" s="2"/>
      <c r="D1033" s="2"/>
      <c r="E1033" s="2"/>
      <c r="F1033" s="2"/>
      <c r="G1033" s="2"/>
      <c r="H1033" s="2"/>
      <c r="I1033" s="2"/>
      <c r="J1033" s="2"/>
      <c r="K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row>
    <row r="1034">
      <c r="A1034" s="2"/>
      <c r="B1034" s="2"/>
      <c r="C1034" s="2"/>
      <c r="D1034" s="2"/>
      <c r="E1034" s="2"/>
      <c r="F1034" s="2"/>
      <c r="G1034" s="2"/>
      <c r="H1034" s="2"/>
      <c r="I1034" s="2"/>
      <c r="J1034" s="2"/>
      <c r="K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row>
    <row r="1035">
      <c r="A1035" s="2"/>
      <c r="B1035" s="2"/>
      <c r="C1035" s="2"/>
      <c r="D1035" s="2"/>
      <c r="E1035" s="2"/>
      <c r="F1035" s="2"/>
      <c r="G1035" s="2"/>
      <c r="H1035" s="2"/>
      <c r="I1035" s="2"/>
      <c r="J1035" s="2"/>
      <c r="K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row>
    <row r="1036">
      <c r="A1036" s="2"/>
      <c r="B1036" s="2"/>
      <c r="C1036" s="2"/>
      <c r="D1036" s="2"/>
      <c r="E1036" s="2"/>
      <c r="F1036" s="2"/>
      <c r="G1036" s="2"/>
      <c r="H1036" s="2"/>
      <c r="I1036" s="2"/>
      <c r="J1036" s="2"/>
      <c r="K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row>
    <row r="1037">
      <c r="A1037" s="2"/>
      <c r="B1037" s="2"/>
      <c r="C1037" s="2"/>
      <c r="D1037" s="2"/>
      <c r="E1037" s="2"/>
      <c r="F1037" s="2"/>
      <c r="G1037" s="2"/>
      <c r="H1037" s="2"/>
      <c r="I1037" s="2"/>
      <c r="J1037" s="2"/>
      <c r="K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row>
    <row r="1038">
      <c r="A1038" s="2"/>
      <c r="B1038" s="2"/>
      <c r="C1038" s="2"/>
      <c r="D1038" s="2"/>
      <c r="E1038" s="2"/>
      <c r="F1038" s="2"/>
      <c r="G1038" s="2"/>
      <c r="H1038" s="2"/>
      <c r="I1038" s="2"/>
      <c r="J1038" s="2"/>
      <c r="K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row>
    <row r="1039">
      <c r="A1039" s="2"/>
      <c r="B1039" s="2"/>
      <c r="C1039" s="2"/>
      <c r="D1039" s="2"/>
      <c r="E1039" s="2"/>
      <c r="F1039" s="2"/>
      <c r="G1039" s="2"/>
      <c r="H1039" s="2"/>
      <c r="I1039" s="2"/>
      <c r="J1039" s="2"/>
      <c r="K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row>
    <row r="1040">
      <c r="A1040" s="2"/>
      <c r="B1040" s="2"/>
      <c r="C1040" s="2"/>
      <c r="D1040" s="2"/>
      <c r="E1040" s="2"/>
      <c r="F1040" s="2"/>
      <c r="G1040" s="2"/>
      <c r="H1040" s="2"/>
      <c r="I1040" s="2"/>
      <c r="J1040" s="2"/>
      <c r="K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row>
    <row r="1041">
      <c r="A1041" s="2"/>
      <c r="B1041" s="2"/>
      <c r="C1041" s="2"/>
      <c r="D1041" s="2"/>
      <c r="E1041" s="2"/>
      <c r="F1041" s="2"/>
      <c r="G1041" s="2"/>
      <c r="H1041" s="2"/>
      <c r="I1041" s="2"/>
      <c r="J1041" s="2"/>
      <c r="K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row>
    <row r="1042">
      <c r="A1042" s="2"/>
      <c r="B1042" s="2"/>
      <c r="C1042" s="2"/>
      <c r="D1042" s="2"/>
      <c r="E1042" s="2"/>
      <c r="F1042" s="2"/>
      <c r="G1042" s="2"/>
      <c r="H1042" s="2"/>
      <c r="I1042" s="2"/>
      <c r="J1042" s="2"/>
      <c r="K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row>
    <row r="1043">
      <c r="A1043" s="2"/>
      <c r="B1043" s="2"/>
      <c r="C1043" s="2"/>
      <c r="D1043" s="2"/>
      <c r="E1043" s="2"/>
      <c r="F1043" s="2"/>
      <c r="G1043" s="2"/>
      <c r="H1043" s="2"/>
      <c r="I1043" s="2"/>
      <c r="J1043" s="2"/>
      <c r="K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row>
    <row r="1044">
      <c r="A1044" s="2"/>
      <c r="B1044" s="2"/>
      <c r="C1044" s="2"/>
      <c r="D1044" s="2"/>
      <c r="E1044" s="2"/>
      <c r="F1044" s="2"/>
      <c r="G1044" s="2"/>
      <c r="H1044" s="2"/>
      <c r="I1044" s="2"/>
      <c r="J1044" s="2"/>
      <c r="K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row>
    <row r="1045">
      <c r="A1045" s="2"/>
      <c r="B1045" s="2"/>
      <c r="C1045" s="2"/>
      <c r="D1045" s="2"/>
      <c r="E1045" s="2"/>
      <c r="F1045" s="2"/>
      <c r="G1045" s="2"/>
      <c r="H1045" s="2"/>
      <c r="I1045" s="2"/>
      <c r="J1045" s="2"/>
      <c r="K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row>
    <row r="1046">
      <c r="A1046" s="2"/>
      <c r="B1046" s="2"/>
      <c r="C1046" s="2"/>
      <c r="D1046" s="2"/>
      <c r="E1046" s="2"/>
      <c r="F1046" s="2"/>
      <c r="G1046" s="2"/>
      <c r="H1046" s="2"/>
      <c r="I1046" s="2"/>
      <c r="J1046" s="2"/>
      <c r="K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row>
    <row r="1047">
      <c r="A1047" s="2"/>
      <c r="B1047" s="2"/>
      <c r="C1047" s="2"/>
      <c r="D1047" s="2"/>
      <c r="E1047" s="2"/>
      <c r="F1047" s="2"/>
      <c r="G1047" s="2"/>
      <c r="H1047" s="2"/>
      <c r="I1047" s="2"/>
      <c r="J1047" s="2"/>
      <c r="K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row>
    <row r="1048">
      <c r="A1048" s="2"/>
      <c r="B1048" s="2"/>
      <c r="C1048" s="2"/>
      <c r="D1048" s="2"/>
      <c r="E1048" s="2"/>
      <c r="F1048" s="2"/>
      <c r="G1048" s="2"/>
      <c r="H1048" s="2"/>
      <c r="I1048" s="2"/>
      <c r="J1048" s="2"/>
      <c r="K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row>
    <row r="1049">
      <c r="A1049" s="2"/>
      <c r="B1049" s="2"/>
      <c r="C1049" s="2"/>
      <c r="D1049" s="2"/>
      <c r="E1049" s="2"/>
      <c r="F1049" s="2"/>
      <c r="G1049" s="2"/>
      <c r="H1049" s="2"/>
      <c r="I1049" s="2"/>
      <c r="J1049" s="2"/>
      <c r="K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row>
    <row r="1050">
      <c r="A1050" s="2"/>
      <c r="B1050" s="2"/>
      <c r="C1050" s="2"/>
      <c r="D1050" s="2"/>
      <c r="E1050" s="2"/>
      <c r="F1050" s="2"/>
      <c r="G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row>
    <row r="1051">
      <c r="A1051" s="2"/>
      <c r="B1051" s="2"/>
      <c r="C1051" s="2"/>
      <c r="D1051" s="2"/>
      <c r="E1051" s="2"/>
      <c r="F1051" s="2"/>
      <c r="G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row>
    <row r="1052">
      <c r="A1052" s="2"/>
      <c r="B1052" s="2"/>
      <c r="C1052" s="2"/>
      <c r="D1052" s="2"/>
      <c r="E1052" s="2"/>
      <c r="F1052" s="2"/>
      <c r="G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row>
    <row r="1053">
      <c r="A1053" s="2"/>
      <c r="B1053" s="2"/>
      <c r="C1053" s="2"/>
      <c r="D1053" s="2"/>
      <c r="E1053" s="2"/>
      <c r="F1053" s="2"/>
      <c r="G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row>
    <row r="1054">
      <c r="A1054" s="2"/>
      <c r="B1054" s="2"/>
      <c r="C1054" s="2"/>
      <c r="D1054" s="2"/>
      <c r="E1054" s="2"/>
      <c r="F1054" s="2"/>
      <c r="G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row>
    <row r="1055">
      <c r="A1055" s="2"/>
      <c r="B1055" s="2"/>
      <c r="C1055" s="2"/>
      <c r="D1055" s="2"/>
      <c r="E1055" s="2"/>
      <c r="F1055" s="2"/>
      <c r="G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row>
    <row r="1056">
      <c r="A1056" s="2"/>
      <c r="B1056" s="2"/>
      <c r="C1056" s="2"/>
      <c r="D1056" s="2"/>
      <c r="E1056" s="2"/>
      <c r="F1056" s="2"/>
      <c r="G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row>
    <row r="1057">
      <c r="A1057" s="2"/>
      <c r="B1057" s="2"/>
      <c r="C1057" s="2"/>
      <c r="D1057" s="2"/>
      <c r="E1057" s="2"/>
      <c r="F1057" s="2"/>
      <c r="G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row>
    <row r="1058">
      <c r="A1058" s="2"/>
      <c r="B1058" s="2"/>
      <c r="C1058" s="2"/>
      <c r="D1058" s="2"/>
      <c r="E1058" s="2"/>
      <c r="F1058" s="2"/>
      <c r="G1058" s="2"/>
      <c r="O1058" s="2"/>
      <c r="P1058" s="2"/>
      <c r="Q1058" s="2"/>
      <c r="R1058" s="2"/>
      <c r="S1058" s="2"/>
      <c r="T1058" s="2"/>
      <c r="U1058" s="2"/>
      <c r="V1058" s="2"/>
      <c r="W1058" s="2"/>
      <c r="X1058" s="2"/>
      <c r="Y1058" s="2"/>
      <c r="Z1058" s="2"/>
      <c r="AA1058" s="2"/>
      <c r="AB1058" s="2"/>
      <c r="AC1058" s="2"/>
      <c r="AD1058" s="2"/>
      <c r="AE1058" s="2"/>
      <c r="AF1058" s="2"/>
      <c r="AG1058" s="2"/>
      <c r="AH1058" s="2"/>
      <c r="AI105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23.13"/>
    <col customWidth="1" min="3" max="3" width="44.5"/>
  </cols>
  <sheetData>
    <row r="1">
      <c r="A1" s="1" t="s">
        <v>0</v>
      </c>
      <c r="B1" s="1" t="s">
        <v>1</v>
      </c>
      <c r="C1" s="1" t="s">
        <v>157</v>
      </c>
      <c r="D1" s="2"/>
      <c r="E1" s="2"/>
      <c r="F1" s="2"/>
      <c r="G1" s="2"/>
      <c r="H1" s="2"/>
      <c r="I1" s="2"/>
      <c r="J1" s="2"/>
      <c r="K1" s="2"/>
      <c r="L1" s="2"/>
      <c r="M1" s="2"/>
      <c r="N1" s="2"/>
      <c r="O1" s="2"/>
      <c r="P1" s="2"/>
      <c r="Q1" s="2"/>
      <c r="R1" s="2"/>
      <c r="S1" s="2"/>
      <c r="T1" s="2"/>
      <c r="U1" s="2"/>
      <c r="V1" s="2"/>
      <c r="W1" s="2"/>
      <c r="X1" s="2"/>
      <c r="Y1" s="2"/>
      <c r="Z1" s="2"/>
      <c r="AA1" s="2"/>
    </row>
    <row r="2">
      <c r="A2" s="3" t="s">
        <v>13</v>
      </c>
      <c r="B2" s="3" t="s">
        <v>14</v>
      </c>
      <c r="C2" s="3" t="s">
        <v>158</v>
      </c>
      <c r="D2" s="2"/>
      <c r="E2" s="2"/>
      <c r="F2" s="2"/>
      <c r="G2" s="2"/>
      <c r="H2" s="2"/>
      <c r="I2" s="2"/>
      <c r="J2" s="2"/>
      <c r="K2" s="2"/>
      <c r="L2" s="2"/>
      <c r="M2" s="2"/>
      <c r="N2" s="2"/>
      <c r="O2" s="2"/>
      <c r="P2" s="2"/>
      <c r="Q2" s="2"/>
      <c r="R2" s="2"/>
      <c r="S2" s="2"/>
      <c r="T2" s="2"/>
      <c r="U2" s="2"/>
      <c r="V2" s="2"/>
      <c r="W2" s="2"/>
      <c r="X2" s="2"/>
      <c r="Y2" s="2"/>
      <c r="Z2" s="2"/>
      <c r="AA2" s="2"/>
    </row>
    <row r="3">
      <c r="A3" s="3" t="s">
        <v>20</v>
      </c>
      <c r="B3" s="3" t="s">
        <v>21</v>
      </c>
      <c r="C3" s="3" t="s">
        <v>158</v>
      </c>
      <c r="D3" s="2"/>
      <c r="E3" s="2"/>
      <c r="F3" s="2"/>
      <c r="G3" s="2"/>
      <c r="H3" s="2"/>
      <c r="I3" s="2"/>
      <c r="J3" s="2"/>
      <c r="K3" s="2"/>
      <c r="L3" s="2"/>
      <c r="M3" s="2"/>
      <c r="N3" s="2"/>
      <c r="O3" s="2"/>
      <c r="P3" s="2"/>
      <c r="Q3" s="2"/>
      <c r="R3" s="2"/>
      <c r="S3" s="2"/>
      <c r="T3" s="2"/>
      <c r="U3" s="2"/>
      <c r="V3" s="2"/>
      <c r="W3" s="2"/>
      <c r="X3" s="2"/>
      <c r="Y3" s="2"/>
      <c r="Z3" s="2"/>
      <c r="AA3" s="2"/>
    </row>
    <row r="4">
      <c r="A4" s="3" t="s">
        <v>26</v>
      </c>
      <c r="B4" s="3" t="s">
        <v>27</v>
      </c>
      <c r="C4" s="3" t="s">
        <v>158</v>
      </c>
      <c r="D4" s="2"/>
      <c r="E4" s="2"/>
      <c r="F4" s="2"/>
      <c r="G4" s="2"/>
      <c r="H4" s="2"/>
      <c r="I4" s="2"/>
      <c r="J4" s="2"/>
      <c r="K4" s="2"/>
      <c r="L4" s="2"/>
      <c r="M4" s="2"/>
      <c r="N4" s="2"/>
      <c r="O4" s="2"/>
      <c r="P4" s="2"/>
      <c r="Q4" s="2"/>
      <c r="R4" s="2"/>
      <c r="S4" s="2"/>
      <c r="T4" s="2"/>
      <c r="U4" s="2"/>
      <c r="V4" s="2"/>
      <c r="W4" s="2"/>
      <c r="X4" s="2"/>
      <c r="Y4" s="2"/>
      <c r="Z4" s="2"/>
      <c r="AA4" s="2"/>
    </row>
    <row r="5">
      <c r="A5" s="3" t="s">
        <v>32</v>
      </c>
      <c r="B5" s="3" t="s">
        <v>33</v>
      </c>
      <c r="C5" s="3" t="s">
        <v>158</v>
      </c>
      <c r="D5" s="2"/>
      <c r="E5" s="2"/>
      <c r="F5" s="2"/>
      <c r="G5" s="2"/>
      <c r="H5" s="2"/>
      <c r="I5" s="2"/>
      <c r="J5" s="2"/>
      <c r="K5" s="2"/>
      <c r="L5" s="2"/>
      <c r="M5" s="2"/>
      <c r="N5" s="2"/>
      <c r="O5" s="2"/>
      <c r="P5" s="2"/>
      <c r="Q5" s="2"/>
      <c r="R5" s="2"/>
      <c r="S5" s="2"/>
      <c r="T5" s="2"/>
      <c r="U5" s="2"/>
      <c r="V5" s="2"/>
      <c r="W5" s="2"/>
      <c r="X5" s="2"/>
      <c r="Y5" s="2"/>
      <c r="Z5" s="2"/>
      <c r="AA5" s="2"/>
    </row>
    <row r="6">
      <c r="A6" s="3" t="s">
        <v>37</v>
      </c>
      <c r="B6" s="3" t="s">
        <v>38</v>
      </c>
      <c r="C6" s="3" t="s">
        <v>158</v>
      </c>
      <c r="D6" s="2"/>
      <c r="E6" s="2"/>
      <c r="F6" s="2"/>
      <c r="G6" s="2"/>
      <c r="H6" s="2"/>
      <c r="I6" s="2"/>
      <c r="J6" s="2"/>
      <c r="K6" s="2"/>
      <c r="L6" s="2"/>
      <c r="M6" s="2"/>
      <c r="N6" s="2"/>
      <c r="O6" s="2"/>
      <c r="P6" s="2"/>
      <c r="Q6" s="2"/>
      <c r="R6" s="2"/>
      <c r="S6" s="2"/>
      <c r="T6" s="2"/>
      <c r="U6" s="2"/>
      <c r="V6" s="2"/>
      <c r="W6" s="2"/>
      <c r="X6" s="2"/>
      <c r="Y6" s="2"/>
      <c r="Z6" s="2"/>
      <c r="AA6" s="2"/>
    </row>
    <row r="7">
      <c r="A7" s="3" t="s">
        <v>42</v>
      </c>
      <c r="B7" s="3" t="s">
        <v>43</v>
      </c>
      <c r="C7" s="3" t="s">
        <v>158</v>
      </c>
      <c r="D7" s="2"/>
      <c r="E7" s="2"/>
      <c r="F7" s="2"/>
      <c r="G7" s="2"/>
      <c r="H7" s="2"/>
      <c r="I7" s="2"/>
      <c r="J7" s="2"/>
      <c r="K7" s="2"/>
      <c r="L7" s="2"/>
      <c r="M7" s="2"/>
      <c r="N7" s="2"/>
      <c r="O7" s="2"/>
      <c r="P7" s="2"/>
      <c r="Q7" s="2"/>
      <c r="R7" s="2"/>
      <c r="S7" s="2"/>
      <c r="T7" s="2"/>
      <c r="U7" s="2"/>
      <c r="V7" s="2"/>
      <c r="W7" s="2"/>
      <c r="X7" s="2"/>
      <c r="Y7" s="2"/>
      <c r="Z7" s="2"/>
      <c r="AA7" s="2"/>
    </row>
    <row r="8">
      <c r="A8" s="3" t="s">
        <v>47</v>
      </c>
      <c r="B8" s="3" t="s">
        <v>48</v>
      </c>
      <c r="C8" s="3" t="s">
        <v>159</v>
      </c>
      <c r="D8" s="2"/>
      <c r="E8" s="2"/>
      <c r="F8" s="2"/>
      <c r="G8" s="2"/>
      <c r="H8" s="2"/>
      <c r="I8" s="2"/>
      <c r="J8" s="2"/>
      <c r="K8" s="2"/>
      <c r="L8" s="2"/>
      <c r="M8" s="2"/>
      <c r="N8" s="2"/>
      <c r="O8" s="2"/>
      <c r="P8" s="2"/>
      <c r="Q8" s="2"/>
      <c r="R8" s="2"/>
      <c r="S8" s="2"/>
      <c r="T8" s="2"/>
      <c r="U8" s="2"/>
      <c r="V8" s="2"/>
      <c r="W8" s="2"/>
      <c r="X8" s="2"/>
      <c r="Y8" s="2"/>
      <c r="Z8" s="2"/>
      <c r="AA8" s="2"/>
    </row>
    <row r="9">
      <c r="A9" s="3" t="s">
        <v>52</v>
      </c>
      <c r="B9" s="3" t="s">
        <v>53</v>
      </c>
      <c r="C9" s="3" t="s">
        <v>158</v>
      </c>
      <c r="D9" s="2"/>
      <c r="E9" s="2"/>
      <c r="F9" s="2"/>
      <c r="G9" s="2"/>
      <c r="H9" s="2"/>
      <c r="I9" s="2"/>
      <c r="J9" s="2"/>
      <c r="K9" s="2"/>
      <c r="L9" s="2"/>
      <c r="M9" s="2"/>
      <c r="N9" s="2"/>
      <c r="O9" s="2"/>
      <c r="P9" s="2"/>
      <c r="Q9" s="2"/>
      <c r="R9" s="2"/>
      <c r="S9" s="2"/>
      <c r="T9" s="2"/>
      <c r="U9" s="2"/>
      <c r="V9" s="2"/>
      <c r="W9" s="2"/>
      <c r="X9" s="2"/>
      <c r="Y9" s="2"/>
      <c r="Z9" s="2"/>
      <c r="AA9" s="2"/>
    </row>
    <row r="10">
      <c r="A10" s="3" t="s">
        <v>57</v>
      </c>
      <c r="B10" s="3" t="s">
        <v>58</v>
      </c>
      <c r="C10" s="3" t="s">
        <v>158</v>
      </c>
      <c r="D10" s="2"/>
      <c r="E10" s="2"/>
      <c r="F10" s="2"/>
      <c r="G10" s="2"/>
      <c r="H10" s="2"/>
      <c r="I10" s="2"/>
      <c r="J10" s="2"/>
      <c r="K10" s="2"/>
      <c r="L10" s="2"/>
      <c r="M10" s="2"/>
      <c r="N10" s="2"/>
      <c r="O10" s="2"/>
      <c r="P10" s="2"/>
      <c r="Q10" s="2"/>
      <c r="R10" s="2"/>
      <c r="S10" s="2"/>
      <c r="T10" s="2"/>
      <c r="U10" s="2"/>
      <c r="V10" s="2"/>
      <c r="W10" s="2"/>
      <c r="X10" s="2"/>
      <c r="Y10" s="2"/>
      <c r="Z10" s="2"/>
      <c r="AA10" s="2"/>
    </row>
    <row r="11">
      <c r="A11" s="3" t="s">
        <v>63</v>
      </c>
      <c r="B11" s="3" t="s">
        <v>64</v>
      </c>
      <c r="C11" s="3" t="s">
        <v>158</v>
      </c>
      <c r="D11" s="2"/>
      <c r="E11" s="2"/>
      <c r="F11" s="2"/>
      <c r="G11" s="2"/>
      <c r="H11" s="2"/>
      <c r="I11" s="2"/>
      <c r="J11" s="2"/>
      <c r="K11" s="2"/>
      <c r="L11" s="2"/>
      <c r="M11" s="2"/>
      <c r="N11" s="2"/>
      <c r="O11" s="2"/>
      <c r="P11" s="2"/>
      <c r="Q11" s="2"/>
      <c r="R11" s="2"/>
      <c r="S11" s="2"/>
      <c r="T11" s="2"/>
      <c r="U11" s="2"/>
      <c r="V11" s="2"/>
      <c r="W11" s="2"/>
      <c r="X11" s="2"/>
      <c r="Y11" s="2"/>
      <c r="Z11" s="2"/>
      <c r="AA11" s="2"/>
    </row>
    <row r="12">
      <c r="A12" s="3" t="s">
        <v>69</v>
      </c>
      <c r="B12" s="3" t="s">
        <v>70</v>
      </c>
      <c r="C12" s="3" t="s">
        <v>158</v>
      </c>
      <c r="D12" s="2"/>
      <c r="E12" s="2"/>
      <c r="F12" s="2"/>
      <c r="G12" s="2"/>
      <c r="H12" s="2"/>
      <c r="I12" s="2"/>
      <c r="J12" s="2"/>
      <c r="K12" s="2"/>
      <c r="L12" s="2"/>
      <c r="M12" s="2"/>
      <c r="N12" s="2"/>
      <c r="O12" s="2"/>
      <c r="P12" s="2"/>
      <c r="Q12" s="2"/>
      <c r="R12" s="2"/>
      <c r="S12" s="2"/>
      <c r="T12" s="2"/>
      <c r="U12" s="2"/>
      <c r="V12" s="2"/>
      <c r="W12" s="2"/>
      <c r="X12" s="2"/>
      <c r="Y12" s="2"/>
      <c r="Z12" s="2"/>
      <c r="AA12" s="2"/>
    </row>
    <row r="13">
      <c r="A13" s="3" t="s">
        <v>74</v>
      </c>
      <c r="B13" s="3" t="s">
        <v>75</v>
      </c>
      <c r="C13" s="3" t="s">
        <v>158</v>
      </c>
      <c r="D13" s="2"/>
      <c r="E13" s="2"/>
      <c r="F13" s="2"/>
      <c r="G13" s="2"/>
      <c r="H13" s="2"/>
      <c r="I13" s="2"/>
      <c r="J13" s="2"/>
      <c r="K13" s="2"/>
      <c r="L13" s="2"/>
      <c r="M13" s="2"/>
      <c r="N13" s="2"/>
      <c r="O13" s="2"/>
      <c r="P13" s="2"/>
      <c r="Q13" s="2"/>
      <c r="R13" s="2"/>
      <c r="S13" s="2"/>
      <c r="T13" s="2"/>
      <c r="U13" s="2"/>
      <c r="V13" s="2"/>
      <c r="W13" s="2"/>
      <c r="X13" s="2"/>
      <c r="Y13" s="2"/>
      <c r="Z13" s="2"/>
      <c r="AA13" s="2"/>
    </row>
    <row r="14">
      <c r="A14" s="3" t="s">
        <v>79</v>
      </c>
      <c r="B14" s="3" t="s">
        <v>80</v>
      </c>
      <c r="C14" s="3" t="s">
        <v>160</v>
      </c>
      <c r="D14" s="2"/>
      <c r="E14" s="2"/>
      <c r="F14" s="2"/>
      <c r="G14" s="2"/>
      <c r="H14" s="2"/>
      <c r="I14" s="2"/>
      <c r="J14" s="2"/>
      <c r="K14" s="2"/>
      <c r="L14" s="2"/>
      <c r="M14" s="2"/>
      <c r="N14" s="2"/>
      <c r="O14" s="2"/>
      <c r="P14" s="2"/>
      <c r="Q14" s="2"/>
      <c r="R14" s="2"/>
      <c r="S14" s="2"/>
      <c r="T14" s="2"/>
      <c r="U14" s="2"/>
      <c r="V14" s="2"/>
      <c r="W14" s="2"/>
      <c r="X14" s="2"/>
      <c r="Y14" s="2"/>
      <c r="Z14" s="2"/>
      <c r="AA14" s="2"/>
    </row>
    <row r="15">
      <c r="A15" s="3" t="s">
        <v>84</v>
      </c>
      <c r="B15" s="3" t="s">
        <v>85</v>
      </c>
      <c r="C15" s="3" t="s">
        <v>158</v>
      </c>
      <c r="D15" s="2"/>
      <c r="E15" s="2"/>
      <c r="F15" s="2"/>
      <c r="G15" s="2"/>
      <c r="H15" s="2"/>
      <c r="I15" s="2"/>
      <c r="J15" s="2"/>
      <c r="K15" s="2"/>
      <c r="L15" s="2"/>
      <c r="M15" s="2"/>
      <c r="N15" s="2"/>
      <c r="O15" s="2"/>
      <c r="P15" s="2"/>
      <c r="Q15" s="2"/>
      <c r="R15" s="2"/>
      <c r="S15" s="2"/>
      <c r="T15" s="2"/>
      <c r="U15" s="2"/>
      <c r="V15" s="2"/>
      <c r="W15" s="2"/>
      <c r="X15" s="2"/>
      <c r="Y15" s="2"/>
      <c r="Z15" s="2"/>
      <c r="AA15" s="2"/>
    </row>
    <row r="16">
      <c r="A16" s="2"/>
      <c r="B16" s="3"/>
      <c r="C16" s="3"/>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3.13"/>
    <col customWidth="1" min="5" max="5" width="18.75"/>
    <col customWidth="1" min="6" max="6" width="15.75"/>
    <col customWidth="1" min="7" max="7" width="44.38"/>
  </cols>
  <sheetData>
    <row r="1">
      <c r="A1" s="1" t="s">
        <v>0</v>
      </c>
      <c r="B1" s="1" t="s">
        <v>1</v>
      </c>
      <c r="C1" s="1" t="s">
        <v>161</v>
      </c>
      <c r="D1" s="2"/>
      <c r="E1" s="1" t="s">
        <v>162</v>
      </c>
      <c r="F1" s="1" t="s">
        <v>8</v>
      </c>
      <c r="G1" s="1" t="s">
        <v>9</v>
      </c>
      <c r="H1" s="2"/>
      <c r="I1" s="2"/>
      <c r="J1" s="2"/>
      <c r="K1" s="2"/>
      <c r="L1" s="2"/>
      <c r="M1" s="2"/>
      <c r="N1" s="2"/>
      <c r="O1" s="2"/>
      <c r="P1" s="2"/>
      <c r="Q1" s="2"/>
      <c r="R1" s="2"/>
      <c r="S1" s="2"/>
      <c r="T1" s="2"/>
      <c r="U1" s="2"/>
      <c r="V1" s="2"/>
      <c r="W1" s="2"/>
      <c r="X1" s="2"/>
      <c r="Y1" s="2"/>
      <c r="Z1" s="2"/>
      <c r="AA1" s="2"/>
      <c r="AB1" s="2"/>
    </row>
    <row r="2">
      <c r="A2" s="3" t="s">
        <v>13</v>
      </c>
      <c r="B2" s="3" t="s">
        <v>14</v>
      </c>
      <c r="C2" s="3" t="s">
        <v>163</v>
      </c>
      <c r="D2" s="2"/>
      <c r="E2" s="3" t="s">
        <v>163</v>
      </c>
      <c r="F2" s="2">
        <f t="shared" ref="F2:F19" si="1">COUNTIF($C$2:$C988, "*"&amp;E2&amp;"*")</f>
        <v>3</v>
      </c>
      <c r="G2" s="2" t="str">
        <f t="array" ref="G2">"""\cite{" &amp; TEXTJOIN(", ",TRUE,IF(ISNUMBER(SEARCH(E2,$C$2:$C988)),$B$2:$B988,"")) &amp; "}"""</f>
        <v>"\cite{abbes2011empirical, muse2020prevalence, sobrinho2021interplay}"</v>
      </c>
      <c r="H2" s="2"/>
      <c r="I2" s="2"/>
      <c r="J2" s="2"/>
      <c r="K2" s="2"/>
      <c r="L2" s="2"/>
      <c r="M2" s="2"/>
      <c r="N2" s="2"/>
      <c r="O2" s="2"/>
      <c r="P2" s="2"/>
      <c r="Q2" s="2"/>
      <c r="R2" s="2"/>
      <c r="S2" s="2"/>
      <c r="T2" s="2"/>
      <c r="U2" s="2"/>
      <c r="V2" s="2"/>
      <c r="W2" s="2"/>
      <c r="X2" s="2"/>
      <c r="Y2" s="2"/>
      <c r="Z2" s="2"/>
      <c r="AA2" s="2"/>
      <c r="AB2" s="2"/>
    </row>
    <row r="3">
      <c r="A3" s="3" t="s">
        <v>20</v>
      </c>
      <c r="B3" s="3" t="s">
        <v>21</v>
      </c>
      <c r="C3" s="7" t="s">
        <v>164</v>
      </c>
      <c r="D3" s="2"/>
      <c r="E3" s="3" t="s">
        <v>165</v>
      </c>
      <c r="F3" s="2">
        <f t="shared" si="1"/>
        <v>2</v>
      </c>
      <c r="G3" s="2" t="str">
        <f t="array" ref="G3">"""\cite{" &amp; TEXTJOIN(", ",TRUE,IF(ISNUMBER(SEARCH(E3,$C$2:$C988)),$B$2:$B988,"")) &amp; "}"""</f>
        <v>"\cite{martins2020code, martins2021code}"</v>
      </c>
      <c r="H3" s="2"/>
      <c r="I3" s="2"/>
      <c r="J3" s="2"/>
      <c r="K3" s="2"/>
      <c r="L3" s="2"/>
      <c r="M3" s="2"/>
      <c r="N3" s="2"/>
      <c r="O3" s="2"/>
      <c r="P3" s="2"/>
      <c r="Q3" s="2"/>
      <c r="R3" s="2"/>
      <c r="S3" s="2"/>
      <c r="T3" s="2"/>
      <c r="U3" s="2"/>
      <c r="V3" s="2"/>
      <c r="W3" s="2"/>
      <c r="X3" s="2"/>
      <c r="Y3" s="2"/>
      <c r="Z3" s="2"/>
      <c r="AA3" s="2"/>
      <c r="AB3" s="2"/>
    </row>
    <row r="4">
      <c r="A4" s="3" t="s">
        <v>26</v>
      </c>
      <c r="B4" s="3" t="s">
        <v>27</v>
      </c>
      <c r="C4" s="7" t="s">
        <v>166</v>
      </c>
      <c r="D4" s="2"/>
      <c r="E4" s="3" t="s">
        <v>167</v>
      </c>
      <c r="F4" s="2">
        <f t="shared" si="1"/>
        <v>2</v>
      </c>
      <c r="G4" s="2" t="str">
        <f t="array" ref="G4">"""\cite{" &amp; TEXTJOIN(", ",TRUE,IF(ISNUMBER(SEARCH(E4,$C$2:$C988)),$B$2:$B988,"")) &amp; "}"""</f>
        <v>"\cite{martins2020code, martins2021code}"</v>
      </c>
      <c r="H4" s="2"/>
      <c r="I4" s="2"/>
      <c r="J4" s="2"/>
      <c r="K4" s="2"/>
      <c r="L4" s="2"/>
      <c r="M4" s="2"/>
      <c r="N4" s="2"/>
      <c r="O4" s="2"/>
      <c r="P4" s="2"/>
      <c r="Q4" s="2"/>
      <c r="R4" s="2"/>
      <c r="S4" s="2"/>
      <c r="T4" s="2"/>
      <c r="U4" s="2"/>
      <c r="V4" s="2"/>
      <c r="W4" s="2"/>
      <c r="X4" s="2"/>
      <c r="Y4" s="2"/>
      <c r="Z4" s="2"/>
      <c r="AA4" s="2"/>
      <c r="AB4" s="2"/>
    </row>
    <row r="5">
      <c r="A5" s="3" t="s">
        <v>32</v>
      </c>
      <c r="B5" s="3" t="s">
        <v>33</v>
      </c>
      <c r="C5" s="3" t="s">
        <v>168</v>
      </c>
      <c r="D5" s="2"/>
      <c r="E5" s="3" t="s">
        <v>169</v>
      </c>
      <c r="F5" s="2">
        <f t="shared" si="1"/>
        <v>2</v>
      </c>
      <c r="G5" s="2" t="str">
        <f t="array" ref="G5">"""\cite{" &amp; TEXTJOIN(", ",TRUE,IF(ISNUMBER(SEARCH(E5,$C$2:$C988)),$B$2:$B988,"")) &amp; "}"""</f>
        <v>"\cite{palomba2017investigating, palomba2018large}"</v>
      </c>
      <c r="H5" s="2"/>
      <c r="I5" s="2"/>
      <c r="J5" s="2"/>
      <c r="K5" s="2"/>
      <c r="L5" s="2"/>
      <c r="M5" s="2"/>
      <c r="N5" s="2"/>
      <c r="O5" s="2"/>
      <c r="P5" s="2"/>
      <c r="Q5" s="2"/>
      <c r="R5" s="2"/>
      <c r="S5" s="2"/>
      <c r="T5" s="2"/>
      <c r="U5" s="2"/>
      <c r="V5" s="2"/>
      <c r="W5" s="2"/>
      <c r="X5" s="2"/>
      <c r="Y5" s="2"/>
      <c r="Z5" s="2"/>
      <c r="AA5" s="2"/>
      <c r="AB5" s="2"/>
    </row>
    <row r="6">
      <c r="A6" s="3" t="s">
        <v>37</v>
      </c>
      <c r="B6" s="3" t="s">
        <v>38</v>
      </c>
      <c r="C6" s="3" t="s">
        <v>169</v>
      </c>
      <c r="D6" s="2"/>
      <c r="E6" s="3" t="s">
        <v>170</v>
      </c>
      <c r="F6" s="2">
        <f t="shared" si="1"/>
        <v>2</v>
      </c>
      <c r="G6" s="2" t="str">
        <f t="array" ref="G6">"""\cite{" &amp; TEXTJOIN(", ",TRUE,IF(ISNUMBER(SEARCH(E6,$C$2:$C988)),$B$2:$B988,"")) &amp; "}"""</f>
        <v>"\cite{martins2020code, martins2021code}"</v>
      </c>
      <c r="H6" s="2"/>
      <c r="I6" s="2"/>
      <c r="J6" s="2"/>
      <c r="K6" s="2"/>
      <c r="L6" s="2"/>
      <c r="M6" s="2"/>
      <c r="N6" s="2"/>
      <c r="O6" s="2"/>
      <c r="P6" s="2"/>
      <c r="Q6" s="2"/>
      <c r="R6" s="2"/>
      <c r="S6" s="2"/>
      <c r="T6" s="2"/>
      <c r="U6" s="2"/>
      <c r="V6" s="2"/>
      <c r="W6" s="2"/>
      <c r="X6" s="2"/>
      <c r="Y6" s="2"/>
      <c r="Z6" s="2"/>
      <c r="AA6" s="2"/>
      <c r="AB6" s="2"/>
    </row>
    <row r="7">
      <c r="A7" s="3" t="s">
        <v>42</v>
      </c>
      <c r="B7" s="3" t="s">
        <v>43</v>
      </c>
      <c r="C7" s="3" t="s">
        <v>169</v>
      </c>
      <c r="D7" s="2"/>
      <c r="E7" s="3" t="s">
        <v>171</v>
      </c>
      <c r="F7" s="2">
        <f t="shared" si="1"/>
        <v>1</v>
      </c>
      <c r="G7" s="2" t="str">
        <f t="array" ref="G7">"""\cite{" &amp; TEXTJOIN(", ",TRUE,IF(ISNUMBER(SEARCH(E7,$C$2:$C988)),$B$2:$B988,"")) &amp; "}"""</f>
        <v>"\cite{yamashita2013exploring}"</v>
      </c>
      <c r="H7" s="2"/>
      <c r="I7" s="2"/>
      <c r="J7" s="2"/>
      <c r="K7" s="2"/>
      <c r="L7" s="2"/>
      <c r="M7" s="2"/>
      <c r="N7" s="2"/>
      <c r="O7" s="2"/>
      <c r="P7" s="2"/>
      <c r="Q7" s="2"/>
      <c r="R7" s="2"/>
      <c r="S7" s="2"/>
      <c r="T7" s="2"/>
      <c r="U7" s="2"/>
      <c r="V7" s="2"/>
      <c r="W7" s="2"/>
      <c r="X7" s="2"/>
      <c r="Y7" s="2"/>
      <c r="Z7" s="2"/>
      <c r="AA7" s="2"/>
      <c r="AB7" s="2"/>
    </row>
    <row r="8">
      <c r="A8" s="3" t="s">
        <v>47</v>
      </c>
      <c r="B8" s="3" t="s">
        <v>48</v>
      </c>
      <c r="C8" s="7" t="s">
        <v>172</v>
      </c>
      <c r="D8" s="2"/>
      <c r="E8" s="3" t="s">
        <v>173</v>
      </c>
      <c r="F8" s="2">
        <f t="shared" si="1"/>
        <v>1</v>
      </c>
      <c r="G8" s="2" t="str">
        <f t="array" ref="G8">"""\cite{" &amp; TEXTJOIN(", ",TRUE,IF(ISNUMBER(SEARCH(E8,$C$2:$C988)),$B$2:$B988,"")) &amp; "}"""</f>
        <v>"\cite{yamashita2015inter}"</v>
      </c>
      <c r="H8" s="2"/>
      <c r="I8" s="2"/>
      <c r="J8" s="2"/>
      <c r="K8" s="2"/>
      <c r="L8" s="2"/>
      <c r="M8" s="2"/>
      <c r="N8" s="2"/>
      <c r="O8" s="2"/>
      <c r="P8" s="2"/>
      <c r="Q8" s="2"/>
      <c r="R8" s="2"/>
      <c r="S8" s="2"/>
      <c r="T8" s="2"/>
      <c r="U8" s="2"/>
      <c r="V8" s="2"/>
      <c r="W8" s="2"/>
      <c r="X8" s="2"/>
      <c r="Y8" s="2"/>
      <c r="Z8" s="2"/>
      <c r="AA8" s="2"/>
      <c r="AB8" s="2"/>
    </row>
    <row r="9">
      <c r="A9" s="3" t="s">
        <v>52</v>
      </c>
      <c r="B9" s="3" t="s">
        <v>53</v>
      </c>
      <c r="C9" s="3" t="s">
        <v>174</v>
      </c>
      <c r="D9" s="2"/>
      <c r="E9" s="3" t="s">
        <v>175</v>
      </c>
      <c r="F9" s="2">
        <f t="shared" si="1"/>
        <v>1</v>
      </c>
      <c r="G9" s="2" t="str">
        <f t="array" ref="G9">"""\cite{" &amp; TEXTJOIN(", ",TRUE,IF(ISNUMBER(SEARCH(E9,$C$2:$C988)),$B$2:$B988,"")) &amp; "}"""</f>
        <v>"\cite{yamashita2015inter}"</v>
      </c>
      <c r="H9" s="2"/>
      <c r="I9" s="2"/>
      <c r="J9" s="2"/>
      <c r="K9" s="2"/>
      <c r="L9" s="2"/>
      <c r="M9" s="2"/>
      <c r="N9" s="2"/>
      <c r="O9" s="2"/>
      <c r="P9" s="2"/>
      <c r="Q9" s="2"/>
      <c r="R9" s="2"/>
      <c r="S9" s="2"/>
      <c r="T9" s="2"/>
      <c r="U9" s="2"/>
      <c r="V9" s="2"/>
      <c r="W9" s="2"/>
      <c r="X9" s="2"/>
      <c r="Y9" s="2"/>
      <c r="Z9" s="2"/>
      <c r="AA9" s="2"/>
      <c r="AB9" s="2"/>
    </row>
    <row r="10">
      <c r="A10" s="3" t="s">
        <v>57</v>
      </c>
      <c r="B10" s="3" t="s">
        <v>58</v>
      </c>
      <c r="C10" s="3" t="s">
        <v>176</v>
      </c>
      <c r="D10" s="2"/>
      <c r="E10" s="3" t="s">
        <v>177</v>
      </c>
      <c r="F10" s="2">
        <f t="shared" si="1"/>
        <v>1</v>
      </c>
      <c r="G10" s="2" t="str">
        <f t="array" ref="G10">"""\cite{" &amp; TEXTJOIN(", ",TRUE,IF(ISNUMBER(SEARCH(E10,$C$2:$C988)),$B$2:$B988,"")) &amp; "}"""</f>
        <v>"\cite{yamashita2013exploring}"</v>
      </c>
      <c r="H10" s="2"/>
      <c r="I10" s="2"/>
      <c r="J10" s="2"/>
      <c r="K10" s="2"/>
      <c r="L10" s="2"/>
      <c r="M10" s="2"/>
      <c r="N10" s="2"/>
      <c r="O10" s="2"/>
      <c r="P10" s="2"/>
      <c r="Q10" s="2"/>
      <c r="R10" s="2"/>
      <c r="S10" s="2"/>
      <c r="T10" s="2"/>
      <c r="U10" s="2"/>
      <c r="V10" s="2"/>
      <c r="W10" s="2"/>
      <c r="X10" s="2"/>
      <c r="Y10" s="2"/>
      <c r="Z10" s="2"/>
      <c r="AA10" s="2"/>
      <c r="AB10" s="2"/>
    </row>
    <row r="11">
      <c r="A11" s="3" t="s">
        <v>63</v>
      </c>
      <c r="B11" s="3" t="s">
        <v>64</v>
      </c>
      <c r="C11" s="3" t="s">
        <v>178</v>
      </c>
      <c r="D11" s="2"/>
      <c r="E11" s="3" t="s">
        <v>179</v>
      </c>
      <c r="F11" s="2">
        <f t="shared" si="1"/>
        <v>1</v>
      </c>
      <c r="G11" s="2" t="str">
        <f t="array" ref="G11">"""\cite{" &amp; TEXTJOIN(", ",TRUE,IF(ISNUMBER(SEARCH(E11,$C$2:$C988)),$B$2:$B988,"")) &amp; "}"""</f>
        <v>"\cite{yamashita2015inter}"</v>
      </c>
      <c r="H11" s="2"/>
      <c r="I11" s="2"/>
      <c r="J11" s="2"/>
      <c r="K11" s="2"/>
      <c r="L11" s="2"/>
      <c r="M11" s="2"/>
      <c r="N11" s="2"/>
      <c r="O11" s="2"/>
      <c r="P11" s="2"/>
      <c r="Q11" s="2"/>
      <c r="R11" s="2"/>
      <c r="S11" s="2"/>
      <c r="T11" s="2"/>
      <c r="U11" s="2"/>
      <c r="V11" s="2"/>
      <c r="W11" s="2"/>
      <c r="X11" s="2"/>
      <c r="Y11" s="2"/>
      <c r="Z11" s="2"/>
      <c r="AA11" s="2"/>
      <c r="AB11" s="2"/>
    </row>
    <row r="12">
      <c r="A12" s="3" t="s">
        <v>69</v>
      </c>
      <c r="B12" s="3" t="s">
        <v>70</v>
      </c>
      <c r="C12" s="3" t="s">
        <v>180</v>
      </c>
      <c r="D12" s="2"/>
      <c r="E12" s="3" t="s">
        <v>180</v>
      </c>
      <c r="F12" s="2">
        <f t="shared" si="1"/>
        <v>1</v>
      </c>
      <c r="G12" s="2" t="str">
        <f t="array" ref="G12">"""\cite{" &amp; TEXTJOIN(", ",TRUE,IF(ISNUMBER(SEARCH(E12,$C$2:$C988)),$B$2:$B988,"")) &amp; "}"""</f>
        <v>"\cite{bessghaier2020diffusion}"</v>
      </c>
      <c r="H12" s="2"/>
      <c r="I12" s="2"/>
      <c r="J12" s="2"/>
      <c r="K12" s="2"/>
      <c r="L12" s="2"/>
      <c r="M12" s="2"/>
      <c r="N12" s="2"/>
      <c r="O12" s="2"/>
      <c r="P12" s="2"/>
      <c r="Q12" s="2"/>
      <c r="R12" s="2"/>
      <c r="S12" s="2"/>
      <c r="T12" s="2"/>
      <c r="U12" s="2"/>
      <c r="V12" s="2"/>
      <c r="W12" s="2"/>
      <c r="X12" s="2"/>
      <c r="Y12" s="2"/>
      <c r="Z12" s="2"/>
      <c r="AA12" s="2"/>
      <c r="AB12" s="2"/>
    </row>
    <row r="13">
      <c r="A13" s="3" t="s">
        <v>74</v>
      </c>
      <c r="B13" s="3" t="s">
        <v>75</v>
      </c>
      <c r="C13" s="3" t="s">
        <v>181</v>
      </c>
      <c r="D13" s="2"/>
      <c r="E13" s="3" t="s">
        <v>182</v>
      </c>
      <c r="F13" s="2">
        <f t="shared" si="1"/>
        <v>1</v>
      </c>
      <c r="G13" s="2" t="str">
        <f t="array" ref="G13">"""\cite{" &amp; TEXTJOIN(", ",TRUE,IF(ISNUMBER(SEARCH(E13,$C$2:$C988)),$B$2:$B988,"")) &amp; "}"""</f>
        <v>"\cite{sobrinho2021interplay}"</v>
      </c>
      <c r="H13" s="2"/>
      <c r="I13" s="2"/>
      <c r="J13" s="2"/>
      <c r="K13" s="2"/>
      <c r="L13" s="2"/>
      <c r="M13" s="2"/>
      <c r="N13" s="2"/>
      <c r="O13" s="2"/>
      <c r="P13" s="2"/>
      <c r="Q13" s="2"/>
      <c r="R13" s="2"/>
      <c r="S13" s="2"/>
      <c r="T13" s="2"/>
      <c r="U13" s="2"/>
      <c r="V13" s="2"/>
      <c r="W13" s="2"/>
      <c r="X13" s="2"/>
      <c r="Y13" s="2"/>
      <c r="Z13" s="2"/>
      <c r="AA13" s="2"/>
      <c r="AB13" s="2"/>
    </row>
    <row r="14">
      <c r="A14" s="3" t="s">
        <v>79</v>
      </c>
      <c r="B14" s="3" t="s">
        <v>80</v>
      </c>
      <c r="C14" s="3" t="s">
        <v>183</v>
      </c>
      <c r="D14" s="2"/>
      <c r="E14" s="3" t="s">
        <v>176</v>
      </c>
      <c r="F14" s="2">
        <f t="shared" si="1"/>
        <v>1</v>
      </c>
      <c r="G14" s="2" t="str">
        <f t="array" ref="G14">"""\cite{" &amp; TEXTJOIN(", ",TRUE,IF(ISNUMBER(SEARCH(E14,$C$2:$C988)),$B$2:$B988,"")) &amp; "}"""</f>
        <v>"\cite{ogenrwot2020comparison}"</v>
      </c>
      <c r="H14" s="2"/>
      <c r="I14" s="2"/>
      <c r="J14" s="2"/>
      <c r="K14" s="2"/>
      <c r="L14" s="2"/>
      <c r="M14" s="2"/>
      <c r="N14" s="2"/>
      <c r="O14" s="2"/>
      <c r="P14" s="2"/>
      <c r="Q14" s="2"/>
      <c r="R14" s="2"/>
      <c r="S14" s="2"/>
      <c r="T14" s="2"/>
      <c r="U14" s="2"/>
      <c r="V14" s="2"/>
      <c r="W14" s="2"/>
      <c r="X14" s="2"/>
      <c r="Y14" s="2"/>
      <c r="Z14" s="2"/>
      <c r="AA14" s="2"/>
      <c r="AB14" s="2"/>
    </row>
    <row r="15">
      <c r="A15" s="3" t="s">
        <v>84</v>
      </c>
      <c r="B15" s="3" t="s">
        <v>85</v>
      </c>
      <c r="C15" s="3" t="s">
        <v>184</v>
      </c>
      <c r="D15" s="2"/>
      <c r="E15" s="3" t="s">
        <v>185</v>
      </c>
      <c r="F15" s="2">
        <f t="shared" si="1"/>
        <v>1</v>
      </c>
      <c r="G15" s="2" t="str">
        <f t="array" ref="G15">"""\cite{" &amp; TEXTJOIN(", ",TRUE,IF(ISNUMBER(SEARCH(E15,$C$2:$C988)),$B$2:$B988,"")) &amp; "}"""</f>
        <v>"\cite{muse2020prevalence}"</v>
      </c>
      <c r="H15" s="2"/>
      <c r="I15" s="2"/>
      <c r="J15" s="2"/>
      <c r="K15" s="2"/>
      <c r="L15" s="2"/>
      <c r="M15" s="2"/>
      <c r="N15" s="2"/>
      <c r="O15" s="2"/>
      <c r="P15" s="2"/>
      <c r="Q15" s="2"/>
      <c r="R15" s="2"/>
      <c r="S15" s="2"/>
      <c r="T15" s="2"/>
      <c r="U15" s="2"/>
      <c r="V15" s="2"/>
      <c r="W15" s="2"/>
      <c r="X15" s="2"/>
      <c r="Y15" s="2"/>
      <c r="Z15" s="2"/>
      <c r="AA15" s="2"/>
      <c r="AB15" s="2"/>
    </row>
    <row r="16">
      <c r="A16" s="2"/>
      <c r="B16" s="2"/>
      <c r="C16" s="2"/>
      <c r="D16" s="2"/>
      <c r="E16" s="3" t="s">
        <v>168</v>
      </c>
      <c r="F16" s="2">
        <f t="shared" si="1"/>
        <v>1</v>
      </c>
      <c r="G16" s="2" t="str">
        <f t="array" ref="G16">"""\cite{" &amp; TEXTJOIN(", ",TRUE,IF(ISNUMBER(SEARCH(E16,$C$2:$C988)),$B$2:$B988,"")) &amp; "}"""</f>
        <v>"\cite{palomba2016diffusion}"</v>
      </c>
      <c r="H16" s="2"/>
      <c r="I16" s="2"/>
      <c r="J16" s="2"/>
      <c r="K16" s="2"/>
      <c r="L16" s="2"/>
      <c r="M16" s="2"/>
      <c r="N16" s="2"/>
      <c r="O16" s="2"/>
      <c r="P16" s="2"/>
      <c r="Q16" s="2"/>
      <c r="R16" s="2"/>
      <c r="S16" s="2"/>
      <c r="T16" s="2"/>
      <c r="U16" s="2"/>
      <c r="V16" s="2"/>
      <c r="W16" s="2"/>
      <c r="X16" s="2"/>
      <c r="Y16" s="2"/>
      <c r="Z16" s="2"/>
      <c r="AA16" s="2"/>
      <c r="AB16" s="2"/>
    </row>
    <row r="17">
      <c r="A17" s="2"/>
      <c r="B17" s="2"/>
      <c r="C17" s="2"/>
      <c r="D17" s="2"/>
      <c r="E17" s="3" t="s">
        <v>174</v>
      </c>
      <c r="F17" s="2">
        <f t="shared" si="1"/>
        <v>1</v>
      </c>
      <c r="G17" s="2" t="str">
        <f t="array" ref="G17">"""\cite{" &amp; TEXTJOIN(", ",TRUE,IF(ISNUMBER(SEARCH(E17,$C$2:$C988)),$B$2:$B988,"")) &amp; "}"""</f>
        <v>"\cite{fontana2015towards}"</v>
      </c>
      <c r="H17" s="2"/>
      <c r="I17" s="2"/>
      <c r="J17" s="2"/>
      <c r="K17" s="2"/>
      <c r="L17" s="2"/>
      <c r="M17" s="2"/>
      <c r="N17" s="2"/>
      <c r="O17" s="2"/>
      <c r="P17" s="2"/>
      <c r="Q17" s="2"/>
      <c r="R17" s="2"/>
      <c r="S17" s="2"/>
      <c r="T17" s="2"/>
      <c r="U17" s="2"/>
      <c r="V17" s="2"/>
      <c r="W17" s="2"/>
      <c r="X17" s="2"/>
      <c r="Y17" s="2"/>
      <c r="Z17" s="2"/>
      <c r="AA17" s="2"/>
      <c r="AB17" s="2"/>
    </row>
    <row r="18">
      <c r="A18" s="2"/>
      <c r="B18" s="2"/>
      <c r="C18" s="2"/>
      <c r="D18" s="2"/>
      <c r="E18" s="3" t="s">
        <v>186</v>
      </c>
      <c r="F18" s="2">
        <f t="shared" si="1"/>
        <v>1</v>
      </c>
      <c r="G18" s="2" t="str">
        <f t="array" ref="G18">"""\cite{" &amp; TEXTJOIN(", ",TRUE,IF(ISNUMBER(SEARCH(E18,$C$2:$C988)),$B$2:$B988,"")) &amp; "}"""</f>
        <v>"\cite{hamdi2021empirical}"</v>
      </c>
      <c r="H18" s="2"/>
      <c r="I18" s="2"/>
      <c r="J18" s="2"/>
      <c r="K18" s="2"/>
      <c r="L18" s="2"/>
      <c r="M18" s="2"/>
      <c r="N18" s="2"/>
      <c r="O18" s="2"/>
      <c r="P18" s="2"/>
      <c r="Q18" s="2"/>
      <c r="R18" s="2"/>
      <c r="S18" s="2"/>
      <c r="T18" s="2"/>
      <c r="U18" s="2"/>
      <c r="V18" s="2"/>
      <c r="W18" s="2"/>
      <c r="X18" s="2"/>
      <c r="Y18" s="2"/>
      <c r="Z18" s="2"/>
      <c r="AA18" s="2"/>
      <c r="AB18" s="2"/>
    </row>
    <row r="19">
      <c r="A19" s="2"/>
      <c r="B19" s="2"/>
      <c r="C19" s="2"/>
      <c r="D19" s="2"/>
      <c r="E19" s="3" t="s">
        <v>187</v>
      </c>
      <c r="F19" s="2">
        <f t="shared" si="1"/>
        <v>1</v>
      </c>
      <c r="G19" s="2" t="str">
        <f t="array" ref="G19">"""\cite{" &amp; TEXTJOIN(", ",TRUE,IF(ISNUMBER(SEARCH(E19,$C$2:$C988)),$B$2:$B988,"")) &amp; "}"""</f>
        <v>"\cite{hamdi2021empirical}"</v>
      </c>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D988" s="2"/>
      <c r="H988" s="2"/>
      <c r="I988" s="2"/>
      <c r="J988" s="2"/>
      <c r="K988" s="2"/>
      <c r="L988" s="2"/>
      <c r="M988" s="2"/>
      <c r="N988" s="2"/>
      <c r="O988" s="2"/>
      <c r="P988" s="2"/>
      <c r="Q988" s="2"/>
      <c r="R988" s="2"/>
      <c r="S988" s="2"/>
      <c r="T988" s="2"/>
      <c r="U988" s="2"/>
      <c r="V988" s="2"/>
      <c r="W988" s="2"/>
      <c r="X988" s="2"/>
      <c r="Y988" s="2"/>
      <c r="Z988" s="2"/>
      <c r="AA988" s="2"/>
      <c r="AB988"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3.13"/>
    <col customWidth="1" min="3" max="3" width="28.75"/>
    <col customWidth="1" min="5" max="5" width="28.75"/>
    <col customWidth="1" min="6" max="6" width="18.88"/>
    <col customWidth="1" min="7" max="7" width="20.75"/>
  </cols>
  <sheetData>
    <row r="1">
      <c r="A1" s="1" t="s">
        <v>0</v>
      </c>
      <c r="B1" s="1" t="s">
        <v>1</v>
      </c>
      <c r="C1" s="1" t="s">
        <v>188</v>
      </c>
      <c r="D1" s="2"/>
      <c r="E1" s="1" t="s">
        <v>189</v>
      </c>
      <c r="F1" s="1" t="s">
        <v>190</v>
      </c>
      <c r="G1" s="1" t="s">
        <v>9</v>
      </c>
      <c r="H1" s="2"/>
      <c r="I1" s="2"/>
      <c r="J1" s="2"/>
      <c r="K1" s="2"/>
      <c r="L1" s="2"/>
      <c r="M1" s="2"/>
      <c r="N1" s="2"/>
      <c r="O1" s="2"/>
      <c r="P1" s="2"/>
      <c r="Q1" s="2"/>
      <c r="R1" s="2"/>
      <c r="S1" s="2"/>
      <c r="T1" s="2"/>
      <c r="U1" s="2"/>
      <c r="V1" s="2"/>
      <c r="W1" s="2"/>
      <c r="X1" s="2"/>
      <c r="Y1" s="2"/>
      <c r="Z1" s="2"/>
      <c r="AA1" s="2"/>
      <c r="AB1" s="2"/>
    </row>
    <row r="2">
      <c r="A2" s="3" t="s">
        <v>13</v>
      </c>
      <c r="B2" s="3" t="s">
        <v>14</v>
      </c>
      <c r="C2" s="3" t="s">
        <v>191</v>
      </c>
      <c r="D2" s="2"/>
      <c r="E2" s="3" t="s">
        <v>192</v>
      </c>
      <c r="F2" s="9">
        <f t="shared" ref="F2:F15" si="1">COUNTIF($C$2:$C996, "*"&amp;E2&amp;"*")</f>
        <v>3</v>
      </c>
      <c r="G2" s="2" t="str">
        <f t="array" ref="G2">"""\cite{" &amp; TEXTJOIN(", ",TRUE,IF(ISNUMBER(SEARCH(E2,$C$2:$C996)),$B$2:$B996,"")) &amp; "}"""</f>
        <v>"\cite{palomba2018large, martins2020code, martins2021code}"</v>
      </c>
      <c r="H2" s="2"/>
      <c r="I2" s="2"/>
      <c r="J2" s="2"/>
      <c r="K2" s="2"/>
      <c r="L2" s="2"/>
      <c r="M2" s="2"/>
      <c r="N2" s="2"/>
      <c r="O2" s="2"/>
      <c r="P2" s="2"/>
      <c r="Q2" s="2"/>
      <c r="R2" s="2"/>
      <c r="S2" s="2"/>
      <c r="T2" s="2"/>
      <c r="U2" s="2"/>
      <c r="V2" s="2"/>
      <c r="W2" s="2"/>
      <c r="X2" s="2"/>
      <c r="Y2" s="2"/>
      <c r="Z2" s="2"/>
      <c r="AA2" s="2"/>
      <c r="AB2" s="2"/>
    </row>
    <row r="3">
      <c r="A3" s="3" t="s">
        <v>20</v>
      </c>
      <c r="B3" s="3" t="s">
        <v>21</v>
      </c>
      <c r="C3" s="7" t="s">
        <v>193</v>
      </c>
      <c r="D3" s="2"/>
      <c r="E3" s="3" t="s">
        <v>194</v>
      </c>
      <c r="F3" s="9">
        <f t="shared" si="1"/>
        <v>3</v>
      </c>
      <c r="G3" s="2" t="str">
        <f t="array" ref="G3">"""\cite{" &amp; TEXTJOIN(", ",TRUE,IF(ISNUMBER(SEARCH(E3,$C$2:$C996)),$B$2:$B996,"")) &amp; "}"""</f>
        <v>"\cite{muse2020prevalence, bessghaier2020diffusion, hamdi2021empirical}"</v>
      </c>
      <c r="H3" s="2"/>
      <c r="I3" s="2"/>
      <c r="J3" s="2"/>
      <c r="K3" s="2"/>
      <c r="L3" s="2"/>
      <c r="M3" s="2"/>
      <c r="N3" s="2"/>
      <c r="O3" s="2"/>
      <c r="P3" s="2"/>
      <c r="Q3" s="2"/>
      <c r="R3" s="2"/>
      <c r="S3" s="2"/>
      <c r="T3" s="2"/>
      <c r="U3" s="2"/>
      <c r="V3" s="2"/>
      <c r="W3" s="2"/>
      <c r="X3" s="2"/>
      <c r="Y3" s="2"/>
      <c r="Z3" s="2"/>
      <c r="AA3" s="2"/>
      <c r="AB3" s="2"/>
    </row>
    <row r="4">
      <c r="A4" s="3" t="s">
        <v>26</v>
      </c>
      <c r="B4" s="3" t="s">
        <v>27</v>
      </c>
      <c r="C4" s="3" t="s">
        <v>195</v>
      </c>
      <c r="D4" s="2"/>
      <c r="E4" s="3" t="s">
        <v>196</v>
      </c>
      <c r="F4" s="9">
        <f t="shared" si="1"/>
        <v>2</v>
      </c>
      <c r="G4" s="2" t="str">
        <f t="array" ref="G4">"""\cite{" &amp; TEXTJOIN(", ",TRUE,IF(ISNUMBER(SEARCH(E4,$C$2:$C996)),$B$2:$B996,"")) &amp; "}"""</f>
        <v>"\cite{muse2020prevalence, bessghaier2020diffusion}"</v>
      </c>
      <c r="H4" s="2"/>
      <c r="I4" s="2"/>
      <c r="J4" s="2"/>
      <c r="K4" s="2"/>
      <c r="L4" s="2"/>
      <c r="M4" s="2"/>
      <c r="N4" s="2"/>
      <c r="O4" s="2"/>
      <c r="P4" s="2"/>
      <c r="Q4" s="2"/>
      <c r="R4" s="2"/>
      <c r="S4" s="2"/>
      <c r="T4" s="2"/>
      <c r="U4" s="2"/>
      <c r="V4" s="2"/>
      <c r="W4" s="2"/>
      <c r="X4" s="2"/>
      <c r="Y4" s="2"/>
      <c r="Z4" s="2"/>
      <c r="AA4" s="2"/>
      <c r="AB4" s="2"/>
    </row>
    <row r="5">
      <c r="A5" s="3" t="s">
        <v>32</v>
      </c>
      <c r="B5" s="3" t="s">
        <v>33</v>
      </c>
      <c r="C5" s="3" t="s">
        <v>197</v>
      </c>
      <c r="D5" s="2"/>
      <c r="E5" s="3" t="s">
        <v>198</v>
      </c>
      <c r="F5" s="9">
        <f t="shared" si="1"/>
        <v>2</v>
      </c>
      <c r="G5" s="2" t="str">
        <f t="array" ref="G5">"""\cite{" &amp; TEXTJOIN(", ",TRUE,IF(ISNUMBER(SEARCH(E5,$C$2:$C996)),$B$2:$B996,"")) &amp; "}"""</f>
        <v>"\cite{muse2020prevalence, bessghaier2020diffusion}"</v>
      </c>
      <c r="H5" s="2"/>
      <c r="I5" s="2"/>
      <c r="J5" s="2"/>
      <c r="K5" s="2"/>
      <c r="L5" s="2"/>
      <c r="M5" s="2"/>
      <c r="N5" s="2"/>
      <c r="O5" s="2"/>
      <c r="P5" s="2"/>
      <c r="Q5" s="2"/>
      <c r="R5" s="2"/>
      <c r="S5" s="2"/>
      <c r="T5" s="2"/>
      <c r="U5" s="2"/>
      <c r="V5" s="2"/>
      <c r="W5" s="2"/>
      <c r="X5" s="2"/>
      <c r="Y5" s="2"/>
      <c r="Z5" s="2"/>
      <c r="AA5" s="2"/>
      <c r="AB5" s="2"/>
    </row>
    <row r="6">
      <c r="A6" s="3" t="s">
        <v>37</v>
      </c>
      <c r="B6" s="3" t="s">
        <v>38</v>
      </c>
      <c r="C6" s="3" t="s">
        <v>199</v>
      </c>
      <c r="D6" s="2"/>
      <c r="E6" s="3" t="s">
        <v>195</v>
      </c>
      <c r="F6" s="9">
        <f t="shared" si="1"/>
        <v>2</v>
      </c>
      <c r="G6" s="2" t="str">
        <f t="array" ref="G6">"""\cite{" &amp; TEXTJOIN(", ",TRUE,IF(ISNUMBER(SEARCH(E6,$C$2:$C996)),$B$2:$B996,"")) &amp; "}"""</f>
        <v>"\cite{yamashita2013exploring, yamashita2015inter}"</v>
      </c>
      <c r="H6" s="2"/>
      <c r="I6" s="2"/>
      <c r="J6" s="2"/>
      <c r="K6" s="2"/>
      <c r="L6" s="2"/>
      <c r="M6" s="2"/>
      <c r="N6" s="2"/>
      <c r="O6" s="2"/>
      <c r="P6" s="2"/>
      <c r="Q6" s="2"/>
      <c r="R6" s="2"/>
      <c r="S6" s="2"/>
      <c r="T6" s="2"/>
      <c r="U6" s="2"/>
      <c r="V6" s="2"/>
      <c r="W6" s="2"/>
      <c r="X6" s="2"/>
      <c r="Y6" s="2"/>
      <c r="Z6" s="2"/>
      <c r="AA6" s="2"/>
      <c r="AB6" s="2"/>
    </row>
    <row r="7">
      <c r="A7" s="3" t="s">
        <v>42</v>
      </c>
      <c r="B7" s="3" t="s">
        <v>43</v>
      </c>
      <c r="C7" s="3" t="s">
        <v>192</v>
      </c>
      <c r="D7" s="2"/>
      <c r="E7" s="3" t="s">
        <v>199</v>
      </c>
      <c r="F7" s="9">
        <f t="shared" si="1"/>
        <v>1</v>
      </c>
      <c r="G7" s="2" t="str">
        <f t="array" ref="G7">"""\cite{" &amp; TEXTJOIN(", ",TRUE,IF(ISNUMBER(SEARCH(E7,$C$2:$C996)),$B$2:$B996,"")) &amp; "}"""</f>
        <v>"\cite{palomba2017investigating}"</v>
      </c>
      <c r="H7" s="2"/>
      <c r="I7" s="2"/>
      <c r="J7" s="2"/>
      <c r="K7" s="2"/>
      <c r="L7" s="2"/>
      <c r="M7" s="2"/>
      <c r="N7" s="2"/>
      <c r="O7" s="2"/>
      <c r="P7" s="2"/>
      <c r="Q7" s="2"/>
      <c r="R7" s="2"/>
      <c r="S7" s="2"/>
      <c r="T7" s="2"/>
      <c r="U7" s="2"/>
      <c r="V7" s="2"/>
      <c r="W7" s="2"/>
      <c r="X7" s="2"/>
      <c r="Y7" s="2"/>
      <c r="Z7" s="2"/>
      <c r="AA7" s="2"/>
      <c r="AB7" s="2"/>
    </row>
    <row r="8">
      <c r="A8" s="3" t="s">
        <v>47</v>
      </c>
      <c r="B8" s="3" t="s">
        <v>48</v>
      </c>
      <c r="C8" s="3" t="s">
        <v>200</v>
      </c>
      <c r="D8" s="2"/>
      <c r="E8" s="3" t="s">
        <v>201</v>
      </c>
      <c r="F8" s="9">
        <f t="shared" si="1"/>
        <v>1</v>
      </c>
      <c r="G8" s="2" t="str">
        <f t="array" ref="G8">"""\cite{" &amp; TEXTJOIN(", ",TRUE,IF(ISNUMBER(SEARCH(E8,$C$2:$C996)),$B$2:$B996,"")) &amp; "}"""</f>
        <v>"\cite{martins2020code}"</v>
      </c>
      <c r="H8" s="2"/>
      <c r="I8" s="2"/>
      <c r="J8" s="2"/>
      <c r="K8" s="2"/>
      <c r="L8" s="2"/>
      <c r="M8" s="2"/>
      <c r="N8" s="2"/>
      <c r="O8" s="2"/>
      <c r="P8" s="2"/>
      <c r="Q8" s="2"/>
      <c r="R8" s="2"/>
      <c r="S8" s="2"/>
      <c r="T8" s="2"/>
      <c r="U8" s="2"/>
      <c r="V8" s="2"/>
      <c r="W8" s="2"/>
      <c r="X8" s="2"/>
      <c r="Y8" s="2"/>
      <c r="Z8" s="2"/>
      <c r="AA8" s="2"/>
      <c r="AB8" s="2"/>
    </row>
    <row r="9">
      <c r="A9" s="3" t="s">
        <v>52</v>
      </c>
      <c r="B9" s="3" t="s">
        <v>53</v>
      </c>
      <c r="C9" s="3" t="s">
        <v>202</v>
      </c>
      <c r="D9" s="2"/>
      <c r="E9" s="3" t="s">
        <v>202</v>
      </c>
      <c r="F9" s="9">
        <f t="shared" si="1"/>
        <v>1</v>
      </c>
      <c r="G9" s="2" t="str">
        <f t="array" ref="G9">"""\cite{" &amp; TEXTJOIN(", ",TRUE,IF(ISNUMBER(SEARCH(E9,$C$2:$C996)),$B$2:$B996,"")) &amp; "}"""</f>
        <v>"\cite{fontana2015towards}"</v>
      </c>
      <c r="H9" s="2"/>
      <c r="I9" s="2"/>
      <c r="J9" s="2"/>
      <c r="K9" s="2"/>
      <c r="L9" s="2"/>
      <c r="M9" s="2"/>
      <c r="N9" s="2"/>
      <c r="O9" s="2"/>
      <c r="P9" s="2"/>
      <c r="Q9" s="2"/>
      <c r="R9" s="2"/>
      <c r="S9" s="2"/>
      <c r="T9" s="2"/>
      <c r="U9" s="2"/>
      <c r="V9" s="2"/>
      <c r="W9" s="2"/>
      <c r="X9" s="2"/>
      <c r="Y9" s="2"/>
      <c r="Z9" s="2"/>
      <c r="AA9" s="2"/>
      <c r="AB9" s="2"/>
    </row>
    <row r="10">
      <c r="A10" s="3" t="s">
        <v>57</v>
      </c>
      <c r="B10" s="3" t="s">
        <v>58</v>
      </c>
      <c r="C10" s="3" t="s">
        <v>203</v>
      </c>
      <c r="D10" s="2"/>
      <c r="E10" s="3" t="s">
        <v>191</v>
      </c>
      <c r="F10" s="9">
        <f t="shared" si="1"/>
        <v>1</v>
      </c>
      <c r="G10" s="2" t="str">
        <f t="array" ref="G10">"""\cite{" &amp; TEXTJOIN(", ",TRUE,IF(ISNUMBER(SEARCH(E10,$C$2:$C996)),$B$2:$B996,"")) &amp; "}"""</f>
        <v>"\cite{abbes2011empirical}"</v>
      </c>
      <c r="H10" s="2"/>
      <c r="I10" s="2"/>
      <c r="J10" s="2"/>
      <c r="K10" s="2"/>
      <c r="L10" s="2"/>
      <c r="M10" s="2"/>
      <c r="N10" s="2"/>
      <c r="O10" s="2"/>
      <c r="P10" s="2"/>
      <c r="Q10" s="2"/>
      <c r="R10" s="2"/>
      <c r="S10" s="2"/>
      <c r="T10" s="2"/>
      <c r="U10" s="2"/>
      <c r="V10" s="2"/>
      <c r="W10" s="2"/>
      <c r="X10" s="2"/>
      <c r="Y10" s="2"/>
      <c r="Z10" s="2"/>
      <c r="AA10" s="2"/>
      <c r="AB10" s="2"/>
    </row>
    <row r="11">
      <c r="A11" s="3" t="s">
        <v>63</v>
      </c>
      <c r="B11" s="3" t="s">
        <v>64</v>
      </c>
      <c r="C11" s="3" t="s">
        <v>204</v>
      </c>
      <c r="D11" s="2"/>
      <c r="E11" s="3" t="s">
        <v>205</v>
      </c>
      <c r="F11" s="9">
        <f t="shared" si="1"/>
        <v>1</v>
      </c>
      <c r="G11" s="2" t="str">
        <f t="array" ref="G11">"""\cite{" &amp; TEXTJOIN(", ",TRUE,IF(ISNUMBER(SEARCH(E11,$C$2:$C996)),$B$2:$B996,"")) &amp; "}"""</f>
        <v>"\cite{yamashita2013exploring}"</v>
      </c>
      <c r="H11" s="2"/>
      <c r="I11" s="2"/>
      <c r="J11" s="2"/>
      <c r="K11" s="2"/>
      <c r="L11" s="2"/>
      <c r="M11" s="2"/>
      <c r="N11" s="2"/>
      <c r="O11" s="2"/>
      <c r="P11" s="2"/>
      <c r="Q11" s="2"/>
      <c r="R11" s="2"/>
      <c r="S11" s="2"/>
      <c r="T11" s="2"/>
      <c r="U11" s="2"/>
      <c r="V11" s="2"/>
      <c r="W11" s="2"/>
      <c r="X11" s="2"/>
      <c r="Y11" s="2"/>
      <c r="Z11" s="2"/>
      <c r="AA11" s="2"/>
      <c r="AB11" s="2"/>
    </row>
    <row r="12">
      <c r="A12" s="3" t="s">
        <v>69</v>
      </c>
      <c r="B12" s="3" t="s">
        <v>70</v>
      </c>
      <c r="C12" s="3" t="s">
        <v>204</v>
      </c>
      <c r="D12" s="2"/>
      <c r="E12" s="3" t="s">
        <v>197</v>
      </c>
      <c r="F12" s="9">
        <f t="shared" si="1"/>
        <v>1</v>
      </c>
      <c r="G12" s="2" t="str">
        <f t="array" ref="G12">"""\cite{" &amp; TEXTJOIN(", ",TRUE,IF(ISNUMBER(SEARCH(E12,$C$2:$C996)),$B$2:$B996,"")) &amp; "}"""</f>
        <v>"\cite{palomba2016diffusion}"</v>
      </c>
      <c r="H12" s="2"/>
      <c r="I12" s="2"/>
      <c r="J12" s="2"/>
      <c r="K12" s="2"/>
      <c r="L12" s="2"/>
      <c r="M12" s="2"/>
      <c r="N12" s="2"/>
      <c r="O12" s="2"/>
      <c r="P12" s="2"/>
      <c r="Q12" s="2"/>
      <c r="R12" s="2"/>
      <c r="S12" s="2"/>
      <c r="T12" s="2"/>
      <c r="U12" s="2"/>
      <c r="V12" s="2"/>
      <c r="W12" s="2"/>
      <c r="X12" s="2"/>
      <c r="Y12" s="2"/>
      <c r="Z12" s="2"/>
      <c r="AA12" s="2"/>
      <c r="AB12" s="2"/>
    </row>
    <row r="13">
      <c r="A13" s="3" t="s">
        <v>74</v>
      </c>
      <c r="B13" s="3" t="s">
        <v>75</v>
      </c>
      <c r="C13" s="3" t="s">
        <v>192</v>
      </c>
      <c r="D13" s="2"/>
      <c r="E13" s="3" t="s">
        <v>206</v>
      </c>
      <c r="F13" s="9">
        <f t="shared" si="1"/>
        <v>1</v>
      </c>
      <c r="G13" s="2" t="str">
        <f t="array" ref="G13">"""\cite{" &amp; TEXTJOIN(", ",TRUE,IF(ISNUMBER(SEARCH(E13,$C$2:$C996)),$B$2:$B996,"")) &amp; "}"""</f>
        <v>"\cite{sobrinho2021interplay}"</v>
      </c>
      <c r="H13" s="2"/>
      <c r="I13" s="2"/>
      <c r="J13" s="2"/>
      <c r="K13" s="2"/>
      <c r="L13" s="2"/>
      <c r="M13" s="2"/>
      <c r="N13" s="2"/>
      <c r="O13" s="2"/>
      <c r="P13" s="2"/>
      <c r="Q13" s="2"/>
      <c r="R13" s="2"/>
      <c r="S13" s="2"/>
      <c r="T13" s="2"/>
      <c r="U13" s="2"/>
      <c r="V13" s="2"/>
      <c r="W13" s="2"/>
      <c r="X13" s="2"/>
      <c r="Y13" s="2"/>
      <c r="Z13" s="2"/>
      <c r="AA13" s="2"/>
      <c r="AB13" s="2"/>
    </row>
    <row r="14">
      <c r="A14" s="3" t="s">
        <v>79</v>
      </c>
      <c r="B14" s="3" t="s">
        <v>80</v>
      </c>
      <c r="C14" s="3" t="s">
        <v>207</v>
      </c>
      <c r="D14" s="2"/>
      <c r="E14" s="3" t="s">
        <v>208</v>
      </c>
      <c r="F14" s="9">
        <f t="shared" si="1"/>
        <v>1</v>
      </c>
      <c r="G14" s="2" t="str">
        <f t="array" ref="G14">"""\cite{" &amp; TEXTJOIN(", ",TRUE,IF(ISNUMBER(SEARCH(E14,$C$2:$C996)),$B$2:$B996,"")) &amp; "}"""</f>
        <v>"\cite{sobrinho2021interplay}"</v>
      </c>
      <c r="H14" s="2"/>
      <c r="I14" s="2"/>
      <c r="J14" s="2"/>
      <c r="K14" s="2"/>
      <c r="L14" s="2"/>
      <c r="M14" s="2"/>
      <c r="N14" s="2"/>
      <c r="O14" s="2"/>
      <c r="P14" s="2"/>
      <c r="Q14" s="2"/>
      <c r="R14" s="2"/>
      <c r="S14" s="2"/>
      <c r="T14" s="2"/>
      <c r="U14" s="2"/>
      <c r="V14" s="2"/>
      <c r="W14" s="2"/>
      <c r="X14" s="2"/>
      <c r="Y14" s="2"/>
      <c r="Z14" s="2"/>
      <c r="AA14" s="2"/>
      <c r="AB14" s="2"/>
    </row>
    <row r="15">
      <c r="A15" s="3" t="s">
        <v>84</v>
      </c>
      <c r="B15" s="3" t="s">
        <v>85</v>
      </c>
      <c r="C15" s="3" t="s">
        <v>194</v>
      </c>
      <c r="D15" s="2"/>
      <c r="E15" s="3" t="s">
        <v>203</v>
      </c>
      <c r="F15" s="9">
        <f t="shared" si="1"/>
        <v>1</v>
      </c>
      <c r="G15" s="2" t="str">
        <f t="array" ref="G15">"""\cite{" &amp; TEXTJOIN(", ",TRUE,IF(ISNUMBER(SEARCH(E15,$C$2:$C996)),$B$2:$B996,"")) &amp; "}"""</f>
        <v>"\cite{ogenrwot2020comparison}"</v>
      </c>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3.13"/>
    <col customWidth="1" min="3" max="3" width="19.38"/>
    <col customWidth="1" min="4" max="5" width="17.88"/>
    <col customWidth="1" min="6" max="7" width="20.25"/>
    <col customWidth="1" min="8" max="8" width="22.5"/>
    <col customWidth="1" min="9" max="13" width="20.25"/>
    <col customWidth="1" min="14" max="14" width="31.38"/>
    <col customWidth="1" min="15" max="15" width="18.63"/>
    <col customWidth="1" min="16" max="16" width="15.75"/>
    <col customWidth="1" min="17" max="17" width="24.38"/>
  </cols>
  <sheetData>
    <row r="1">
      <c r="A1" s="10" t="s">
        <v>0</v>
      </c>
      <c r="B1" s="10" t="s">
        <v>1</v>
      </c>
      <c r="C1" s="10" t="s">
        <v>209</v>
      </c>
      <c r="D1" s="10" t="s">
        <v>210</v>
      </c>
      <c r="E1" s="10" t="s">
        <v>211</v>
      </c>
      <c r="F1" s="10" t="s">
        <v>212</v>
      </c>
      <c r="G1" s="10" t="s">
        <v>213</v>
      </c>
      <c r="H1" s="10" t="s">
        <v>214</v>
      </c>
      <c r="I1" s="10" t="s">
        <v>215</v>
      </c>
      <c r="J1" s="10" t="s">
        <v>216</v>
      </c>
      <c r="K1" s="10" t="s">
        <v>217</v>
      </c>
      <c r="L1" s="10"/>
      <c r="M1" s="10" t="s">
        <v>6</v>
      </c>
      <c r="N1" s="11" t="s">
        <v>218</v>
      </c>
      <c r="O1" s="11" t="s">
        <v>219</v>
      </c>
      <c r="P1" s="11" t="s">
        <v>8</v>
      </c>
      <c r="Q1" s="10" t="s">
        <v>9</v>
      </c>
    </row>
    <row r="2">
      <c r="A2" s="3" t="s">
        <v>13</v>
      </c>
      <c r="B2" s="3" t="s">
        <v>14</v>
      </c>
      <c r="C2" s="8" t="s">
        <v>220</v>
      </c>
      <c r="D2" s="12">
        <f t="shared" ref="D2:D15" si="1">LEN($C2)-LEN(SUBSTITUTE($C2,",",""))+1</f>
        <v>1</v>
      </c>
      <c r="E2" s="12" t="str">
        <f>TEXTJOIN(", ", TRUE, $C$2:$C999)</f>
        <v>Blob! and Spaghetti Code, Feature Envy and Data Clump, Feature Envy and Data Class, God Class and Data Clump, God Class and Data Class, God Method and Data Clump, God Method and Data Class, Feature Envy and Interface Segregation Principle Violation, Feature Envy and Shotgun Surgery, God Class and Interface Segregation Principle Violation, God Class and Shotgun Surgery, God Method and Interface Segregation Principle Violation, God Method and Shotgun Surgery, Feature Envy and Temporary Variable Used for Several Purposes, Feature Envy and Duplicate Code in Conditional Branches, God Class and Temporary Variable Used for Several Purposes, God Class and Duplicate Code in Conditional Branches, God Method and Temporary Variable Used for Several Purposes, God Method and Duplicate Code in Conditional Branches, Data Clump and Interface Segregation Principle Violation, Data Clump and Shotgun Surgery, Data Class and Interface Segregation Principle Violation, Data Class and Shotgun Surgery, Blob Class and Blob Operation, Blob Class and Schizophrenic Class, Blob Class and Tradition Breaker, Blob Operation and Data Clump, Blob Operation and God Class, Blob Operation and Internal Duplication, Blob Operation and Shotgun Surgery, Data Class and External Duplication, Data Class and Feature Envy, Data Class and Message Chain, Data Class and Schizophrenic Class, Data Clump and External Duplication, Data Clump and Feature Envy, Data Clump and God Class, Data Clump and Internal Duplication, Data Clump and Refused Parent Bequest, External Duplication and Blob Operation, External Duplication and God Class, Feature Envy and Blob Operation, Feature Envy and God Class, Feature Envy and Intensive Coupling, Feature Envy and Internal Duplication, Feature Envy and Message Chain, Feature Envy and Refused Parent Bequest, Feature Envy and Schizophrenic Class, God Class and Data Class, God Class and Intensive Coupling, God Class and Internal Duplication, God Class and Message Chain, God Class and Schizophrenic Class, Intensive Coupling and Blob Operation, Intensive Coupling and Data Clump, Internal Duplication and Blob Class, Internal Duplication and Data Class, Internal Duplication and External Duplication, Internal Duplication and Intensive Coupling, Internal Duplication and Schizophrenic Class, Internal Duplication and Sibling Duplication, Message Chain and External Duplication, Message Chain and Internal Duplication, Message Chain and Schizophrenic Class, Message Chain and Sibling Duplication, Refused Parent Bequest and God Class, Schizophrenic Class and Blob Operation, Schizophrenic Class and Data Clump, Schizophrenic Class and Intensive Coupling, Shotgun Surgery and Internal Duplication, Sibling Duplication and Data Class, Sibling Duplication and External Duplication, Tradition Breaker and Blob Operation, Tradition Breaker and Internal Duplication, Tradition Breaker and Schizophrenic Class, Mystery Guest and Resource Optimism, Mystery Guest and Indirect Testing, Mystery Guest and Eager Test, Test Code Duplication and Indirect Testing, Test Code Duplication and Eager Test, Test Code Duplication and Mystery Guest, Test Code Duplication and Sensitive Equality, Eager Test and Resource Optimism, Eager Test and Indirect Testing, Assertion Roulette and Eager Test, Assertion Roulette and Mystery Guest, Assertion Roulette and Sensitive Equality, Assertion Roulette and Resource Optimism, Assertion Roulette and Indirect Testing, Assertion Roulette and Test Code Duplication, Message Chain and Complex Class, Message Chain and Refused Bequest, Long Method and Long Parameter List, Long Method and Feature Envy, Long Method and Spaghetti Code, Inappropriate Intimacy and Feature Envy, Message Chain and Spaghetti Code, Message Chain and Complex Class, Message Chain and Blob!, Message Chain and Refused Bequest, Long Method and Feature Envy, Long Method and Spaghetti Code, God Class and Long Method, Dispersed Coupling and Long Method, Dispersed Coupling and Feature Envy, Feature Envy and Long Method, Feature Envy and God Class, God Class and Data Class, God Class and Brain Method, Speculative Generality and Swiss Army Knife, Long Parameter List and Class Data Should Be Private, Implicit Columns and Long Parameter List, Implicit Columns and Complex Class, Implicit Columns and Anti-Singleton, Fear of the Unknown and Long Method, Fear of the Unknown and Long Parameter List, Fear of the Unknown and Complex Class, Fear of the Unknown and Anti-Singleton, High Method Complexity and Excessive Number of Children, High Method Complexity and High Coupling, High Method Complexity and Empty Catch Block, High Method Complexity and Goto Statement, High Method Complexity and High NPath Complexity, High Method Complexity and Excessive Method Length, High Method Complexity and Excessive Class Length, High Method Complexity and Excessive Parameter List, High Method Complexity and Too Many Public Methods, High Method Complexity and Too Many Methods, High NPath Complexity and Goto Statement, High NPath Complexity and Too Many Methods, Too Many Public Methods and Too Many Methods, Excessive Parameter List and Too Many Methods, Excessive Parameter List and High Coupling, Excessive Parameter List and High NPath Complexity, Excessive Class Length and Excessive Method Length, Excessive Class Length and Too Many Methods, Excessive Class Length and Too Many Public Methods, Excessive Method Length and Too Many Public Methods, Dispersed Coupling and God Class, Feature Envy and God Class, Feature Envy and Long Method, God Class and Long Method, God Class and Shotgun Surgery, Intensive Coupling and Long Method, Large Class and Complex Class, Duplicate Code! and Large Class, Duplicate Code! and Complex Class, Feature Envy and Long Method, Long Method and Long Parameter List, Complex Class and Message Chain, Complex Class and Feature Envy, Long Parameter List and Feature Envy, No Low Memory Resolver and Member Ignoring Method, Leaking Inner Class and Member Ignoring Method, Message Chain and Member Ignoring Method, Slow Loop and Member Ignoring Method, Complex Class and Member Ignoring Method, Long Method and Member Ignoring Method, Long Parameter List and Member Ignoring Method</v>
      </c>
      <c r="F2" s="13" t="str">
        <f>IFERROR(__xludf.DUMMYFUNCTION("ArrayFormula(SORT(UNIQUE(TRANSPOSE(TRIM(SPLIT(E2,"","")))),1,TRUE))"),"Assertion Roulette and Eager Test")</f>
        <v>Assertion Roulette and Eager Test</v>
      </c>
      <c r="G2" s="3" t="str">
        <f t="array" ref="G2:G999">IFERROR(MID($F2:$F999,SEARCH(" and ",$F2:$F999)+LEN(" and "),LEN($F2:$F999)) &amp; " and " &amp; MID($F2:$F999,1,SEARCH(" and ",$F2:$F999)-1),"")</f>
        <v>Eager Test and Assertion Roulette</v>
      </c>
      <c r="H2" s="3" t="str">
        <f t="shared" ref="H2:H145" si="2">IF(NOT(IFNA(MATCH(F2,$G$2:$G999,0),FALSE)),IF(NOT(F2=""),F2,""),"")</f>
        <v>Assertion Roulette and Eager Test</v>
      </c>
      <c r="I2" s="3" t="str">
        <f t="shared" ref="I2:I145" si="3">IFNA(VLOOKUP(F2,$G$2:$G999,1,FALSE),"")</f>
        <v/>
      </c>
      <c r="J2" s="3" t="str">
        <f>IFERROR(__xludf.DUMMYFUNCTION("TRANSPOSE(SPLIT(TEXTJOIN("","",TRUE,$H$2:$H999,I18,I20,I26,I27,I58),"",""))"),"Assertion Roulette and Eager Test")</f>
        <v>Assertion Roulette and Eager Test</v>
      </c>
      <c r="K2" s="3" t="str">
        <f>IFERROR(__xludf.DUMMYFUNCTION("ArrayFormula(UNIQUE(TRANSPOSE(SPLIT(TEXTJOIN("","",TRUE,SUBSTITUTE($J$2:$J999,"" and "","","")),"",""))))"),"Assertion Roulette")</f>
        <v>Assertion Roulette</v>
      </c>
      <c r="L2" s="3"/>
      <c r="M2" s="3" t="s">
        <v>18</v>
      </c>
      <c r="N2" s="12" t="str">
        <f t="array" ref="N2">"""" &amp; TEXTJOIN(",", TRUE, IF(ISNUMBER(SEARCH(M2,$F$2:$F999)),SUBSTITUTE(SUBSTITUTE($F$2:$F999,M2,"")," and ",""),"")) &amp; """"</f>
        <v>"Complex Class,Data Class,Data Clump,Dispersed Coupling,Blob Operation,Data Class,Data Clump,Duplicate Code in Conditional Branches,God Class,Intensive Coupling,Interface Segregation Principle Violation,Internal Duplication,Long Method,Message Chain,Refused Parent Bequest,Schizophrenic Class,Shotgun Surgery,Temporary Variable Used for Several Purposes,Inappropriate Intimacy,Long Method,Long Parameter List"</v>
      </c>
      <c r="O2" s="12">
        <f>IFERROR(__xludf.DUMMYFUNCTION("IF(N2="""",0,SUMPRODUCT(1/COUNTIF(TRANSPOSE(SPLIT(N2, "","")),TRANSPOSE(SPLIT(N2, "","")))))"),18.0)</f>
        <v>18</v>
      </c>
      <c r="P2" s="12">
        <f t="shared" ref="P2:P80" si="4">COUNTIF($C$2:$C999, "*"&amp;M2&amp;"*")</f>
        <v>7</v>
      </c>
      <c r="Q2" s="12" t="str">
        <f t="array" ref="Q2">"""\cite{" &amp; TEXTJOIN(", ",TRUE,IF(ISNUMBER(SEARCH(M2,$C$2:$C999)),$B$2:$B999,"")) &amp; "}"""</f>
        <v>"\cite{yamashita2013exploring, yamashita2015inter, palomba2017investigating, palomba2018large, martins2020code, martins2021code, hamdi2021empirical}"</v>
      </c>
    </row>
    <row r="3">
      <c r="A3" s="3" t="s">
        <v>20</v>
      </c>
      <c r="B3" s="3" t="s">
        <v>21</v>
      </c>
      <c r="C3" s="8" t="s">
        <v>221</v>
      </c>
      <c r="D3" s="12">
        <f t="shared" si="1"/>
        <v>22</v>
      </c>
      <c r="E3" s="8"/>
      <c r="F3" s="14" t="str">
        <f>IFERROR(__xludf.DUMMYFUNCTION("""COMPUTED_VALUE"""),"Assertion Roulette and Indirect Testing")</f>
        <v>Assertion Roulette and Indirect Testing</v>
      </c>
      <c r="G3" s="3" t="s">
        <v>222</v>
      </c>
      <c r="H3" s="3" t="str">
        <f t="shared" si="2"/>
        <v>Assertion Roulette and Indirect Testing</v>
      </c>
      <c r="I3" s="3" t="str">
        <f t="shared" si="3"/>
        <v/>
      </c>
      <c r="J3" s="3" t="str">
        <f>IFERROR(__xludf.DUMMYFUNCTION("""COMPUTED_VALUE"""),"Assertion Roulette and Indirect Testing")</f>
        <v>Assertion Roulette and Indirect Testing</v>
      </c>
      <c r="K3" s="12" t="str">
        <f>IFERROR(__xludf.DUMMYFUNCTION("""COMPUTED_VALUE"""),"Eager Test")</f>
        <v>Eager Test</v>
      </c>
      <c r="L3" s="3"/>
      <c r="M3" s="3" t="s">
        <v>41</v>
      </c>
      <c r="N3" s="12" t="str">
        <f t="array" ref="N3">"""" &amp; TEXTJOIN(",", TRUE, IF(ISNUMBER(SEARCH(M3,$F$2:$F999)),SUBSTITUTE(SUBSTITUTE($F$2:$F999,M3,"")," and ",""),"")) &amp; """"</f>
        <v>"Blob Operation,Data Clump,Dispersed Coupling,External Duplication,Feature Envy,Brain Method,Data Class,Data Clump,Duplicate Code in Conditional Branches,Intensive Coupling,Interface Segregation Principle Violation,Internal Duplication,Long Method,Message Chain,Schizophrenic Class,Shotgun Surgery,Temporary Variable Used for Several Purposes,Refused Parent Bequest"</v>
      </c>
      <c r="O3" s="12">
        <f>IFERROR(__xludf.DUMMYFUNCTION("IF(N3="""",0,SUMPRODUCT(1/COUNTIF(TRANSPOSE(SPLIT(N3, "","")),TRANSPOSE(SPLIT(N3, "","")))))"),17.0)</f>
        <v>17</v>
      </c>
      <c r="P3" s="12">
        <f t="shared" si="4"/>
        <v>5</v>
      </c>
      <c r="Q3" s="12" t="str">
        <f t="array" ref="Q3">"""\cite{" &amp; TEXTJOIN(", ",TRUE,IF(ISNUMBER(SEARCH(M3,$C$2:$C999)),$B$2:$B999,"")) &amp; "}"""</f>
        <v>"\cite{yamashita2013exploring, yamashita2015inter, martins2020code, fontana2015towards, martins2021code}"</v>
      </c>
    </row>
    <row r="4">
      <c r="A4" s="3" t="s">
        <v>26</v>
      </c>
      <c r="B4" s="3" t="s">
        <v>27</v>
      </c>
      <c r="C4" s="8" t="s">
        <v>223</v>
      </c>
      <c r="D4" s="12">
        <f t="shared" si="1"/>
        <v>52</v>
      </c>
      <c r="E4" s="8"/>
      <c r="F4" s="14" t="str">
        <f>IFERROR(__xludf.DUMMYFUNCTION("""COMPUTED_VALUE"""),"Assertion Roulette and Mystery Guest")</f>
        <v>Assertion Roulette and Mystery Guest</v>
      </c>
      <c r="G4" s="3" t="s">
        <v>224</v>
      </c>
      <c r="H4" s="3" t="str">
        <f t="shared" si="2"/>
        <v>Assertion Roulette and Mystery Guest</v>
      </c>
      <c r="I4" s="3" t="str">
        <f t="shared" si="3"/>
        <v/>
      </c>
      <c r="J4" s="3" t="str">
        <f>IFERROR(__xludf.DUMMYFUNCTION("""COMPUTED_VALUE"""),"Assertion Roulette and Mystery Guest")</f>
        <v>Assertion Roulette and Mystery Guest</v>
      </c>
      <c r="K4" s="3" t="str">
        <f>IFERROR(__xludf.DUMMYFUNCTION("""COMPUTED_VALUE"""),"Indirect Testing")</f>
        <v>Indirect Testing</v>
      </c>
      <c r="L4" s="3"/>
      <c r="M4" s="3" t="s">
        <v>46</v>
      </c>
      <c r="N4" s="12" t="str">
        <f t="array" ref="N4">"""" &amp; TEXTJOIN(",", TRUE, IF(ISNUMBER(SEARCH(M4,$F$2:$F999)),SUBSTITUTE(SUBSTITUTE($F$2:$F999,M4,"")," and ",""),"")) &amp; """"</f>
        <v>"Complex Class,Data Class,Feature Envy,God Class,Blob!,Complex Class,External Duplication,Internal Duplication,Member Ignoring Method,Refused Bequest,Schizophrenic Class,Sibling Duplication,Spaghetti Code"</v>
      </c>
      <c r="O4" s="12">
        <f>IFERROR(__xludf.DUMMYFUNCTION("IF(N4="""",0,SUMPRODUCT(1/COUNTIF(TRANSPOSE(SPLIT(N4, "","")),TRANSPOSE(SPLIT(N4, "","")))))"),13.0)</f>
        <v>13</v>
      </c>
      <c r="P4" s="12">
        <f t="shared" si="4"/>
        <v>4</v>
      </c>
      <c r="Q4" s="12" t="str">
        <f t="array" ref="Q4">"""\cite{" &amp; TEXTJOIN(", ",TRUE,IF(ISNUMBER(SEARCH(M4,$C$2:$C999)),$B$2:$B999,"")) &amp; "}"""</f>
        <v>"\cite{yamashita2015inter, palomba2017investigating, palomba2018large, hamdi2021empirical}"</v>
      </c>
    </row>
    <row r="5">
      <c r="A5" s="3" t="s">
        <v>32</v>
      </c>
      <c r="B5" s="3" t="s">
        <v>33</v>
      </c>
      <c r="C5" s="8" t="s">
        <v>225</v>
      </c>
      <c r="D5" s="12">
        <f t="shared" si="1"/>
        <v>15</v>
      </c>
      <c r="E5" s="8"/>
      <c r="F5" s="14" t="str">
        <f>IFERROR(__xludf.DUMMYFUNCTION("""COMPUTED_VALUE"""),"Assertion Roulette and Resource Optimism")</f>
        <v>Assertion Roulette and Resource Optimism</v>
      </c>
      <c r="G5" s="3" t="s">
        <v>226</v>
      </c>
      <c r="H5" s="3" t="str">
        <f t="shared" si="2"/>
        <v>Assertion Roulette and Resource Optimism</v>
      </c>
      <c r="I5" s="3" t="str">
        <f t="shared" si="3"/>
        <v/>
      </c>
      <c r="J5" s="3" t="str">
        <f>IFERROR(__xludf.DUMMYFUNCTION("""COMPUTED_VALUE"""),"Assertion Roulette and Resource Optimism")</f>
        <v>Assertion Roulette and Resource Optimism</v>
      </c>
      <c r="K5" s="3" t="str">
        <f>IFERROR(__xludf.DUMMYFUNCTION("""COMPUTED_VALUE"""),"Mystery Guest")</f>
        <v>Mystery Guest</v>
      </c>
      <c r="L5" s="3"/>
      <c r="M5" s="3" t="s">
        <v>117</v>
      </c>
      <c r="N5" s="12" t="str">
        <f t="array" ref="N5">"""" &amp; TEXTJOIN(",", TRUE, IF(ISNUMBER(SEARCH(M5,$F$2:$F999)),SUBSTITUTE(SUBSTITUTE($F$2:$F999,M5,"")," and ",""),"")) &amp; """"</f>
        <v>"Blob Operation,Data Clump,Feature Envy,God Class,Blob Class,Data Class,External Duplication,Intensive Coupling,Schizophrenic Class,Sibling Duplication,Message Chain,Shotgun Surgery,Tradition Breaker"</v>
      </c>
      <c r="O5" s="12">
        <f>IFERROR(__xludf.DUMMYFUNCTION("IF(N5="""",0,SUMPRODUCT(1/COUNTIF(TRANSPOSE(SPLIT(N5, "","")),TRANSPOSE(SPLIT(N5, "","")))))"),13.0)</f>
        <v>13</v>
      </c>
      <c r="P5" s="12">
        <f t="shared" si="4"/>
        <v>1</v>
      </c>
      <c r="Q5" s="12" t="str">
        <f t="array" ref="Q5">"""\cite{" &amp; TEXTJOIN(", ",TRUE,IF(ISNUMBER(SEARCH(M5,$C$2:$C999)),$B$2:$B999,"")) &amp; "}"""</f>
        <v>"\cite{yamashita2015inter}"</v>
      </c>
    </row>
    <row r="6">
      <c r="A6" s="3" t="s">
        <v>37</v>
      </c>
      <c r="B6" s="3" t="s">
        <v>38</v>
      </c>
      <c r="C6" s="8" t="s">
        <v>227</v>
      </c>
      <c r="D6" s="12">
        <f t="shared" si="1"/>
        <v>6</v>
      </c>
      <c r="E6" s="8"/>
      <c r="F6" s="14" t="str">
        <f>IFERROR(__xludf.DUMMYFUNCTION("""COMPUTED_VALUE"""),"Assertion Roulette and Sensitive Equality")</f>
        <v>Assertion Roulette and Sensitive Equality</v>
      </c>
      <c r="G6" s="3" t="s">
        <v>228</v>
      </c>
      <c r="H6" s="3" t="str">
        <f t="shared" si="2"/>
        <v>Assertion Roulette and Sensitive Equality</v>
      </c>
      <c r="I6" s="3" t="str">
        <f t="shared" si="3"/>
        <v/>
      </c>
      <c r="J6" s="3" t="str">
        <f>IFERROR(__xludf.DUMMYFUNCTION("""COMPUTED_VALUE"""),"Assertion Roulette and Sensitive Equality")</f>
        <v>Assertion Roulette and Sensitive Equality</v>
      </c>
      <c r="K6" s="3" t="str">
        <f>IFERROR(__xludf.DUMMYFUNCTION("""COMPUTED_VALUE"""),"Resource Optimism")</f>
        <v>Resource Optimism</v>
      </c>
      <c r="L6" s="3"/>
      <c r="M6" s="3" t="s">
        <v>93</v>
      </c>
      <c r="N6" s="12" t="str">
        <f t="array" ref="N6">"""" &amp; TEXTJOIN(",", TRUE, IF(ISNUMBER(SEARCH(M6,$F$2:$F999)),SUBSTITUTE(SUBSTITUTE($F$2:$F999,M6,"")," and ",""),"")) &amp; """"</f>
        <v>"Blob Operation,External Duplication,Feature Envy,God Class,Interface Segregation Principle Violation,Internal Duplication,Refused Parent Bequest,Shotgun Surgery,Feature Envy,God Class,God Method,Intensive Coupling,Schizophrenic Class"</v>
      </c>
      <c r="O6" s="12">
        <f>IFERROR(__xludf.DUMMYFUNCTION("IF(N6="""",0,SUMPRODUCT(1/COUNTIF(TRANSPOSE(SPLIT(N6, "","")),TRANSPOSE(SPLIT(N6, "","")))))"),11.0)</f>
        <v>11</v>
      </c>
      <c r="P6" s="12">
        <f t="shared" si="4"/>
        <v>2</v>
      </c>
      <c r="Q6" s="12" t="str">
        <f t="array" ref="Q6">"""\cite{" &amp; TEXTJOIN(", ",TRUE,IF(ISNUMBER(SEARCH(M6,$C$2:$C999)),$B$2:$B999,"")) &amp; "}"""</f>
        <v>"\cite{yamashita2013exploring, yamashita2015inter}"</v>
      </c>
    </row>
    <row r="7">
      <c r="A7" s="3" t="s">
        <v>42</v>
      </c>
      <c r="B7" s="3" t="s">
        <v>43</v>
      </c>
      <c r="C7" s="8" t="s">
        <v>229</v>
      </c>
      <c r="D7" s="12">
        <f t="shared" si="1"/>
        <v>6</v>
      </c>
      <c r="E7" s="8"/>
      <c r="F7" s="8" t="str">
        <f>IFERROR(__xludf.DUMMYFUNCTION("""COMPUTED_VALUE"""),"Assertion Roulette and Test Code Duplication")</f>
        <v>Assertion Roulette and Test Code Duplication</v>
      </c>
      <c r="G7" s="3" t="s">
        <v>230</v>
      </c>
      <c r="H7" s="3" t="str">
        <f t="shared" si="2"/>
        <v>Assertion Roulette and Test Code Duplication</v>
      </c>
      <c r="I7" s="3" t="str">
        <f t="shared" si="3"/>
        <v/>
      </c>
      <c r="J7" s="3" t="str">
        <f>IFERROR(__xludf.DUMMYFUNCTION("""COMPUTED_VALUE"""),"Assertion Roulette and Test Code Duplication")</f>
        <v>Assertion Roulette and Test Code Duplication</v>
      </c>
      <c r="K7" s="3" t="str">
        <f>IFERROR(__xludf.DUMMYFUNCTION("""COMPUTED_VALUE"""),"Sensitive Equality")</f>
        <v>Sensitive Equality</v>
      </c>
      <c r="L7" s="3"/>
      <c r="M7" s="3" t="s">
        <v>89</v>
      </c>
      <c r="N7" s="12" t="str">
        <f t="array" ref="N7">"""" &amp; TEXTJOIN(",", TRUE, IF(ISNUMBER(SEARCH(M7,$F$2:$F999)),SUBSTITUTE(SUBSTITUTE($F$2:$F999,M7,"")," and ",""),"")) &amp; """"</f>
        <v>"External Duplication,Feature Envy,Interface Segregation Principle Violation,Message Chain,Schizophrenic Class,Shotgun Surgery,Feature Envy,God Class,God Method,Internal Duplication,Sibling Duplication"</v>
      </c>
      <c r="O7" s="12">
        <f>IFERROR(__xludf.DUMMYFUNCTION("IF(N7="""",0,SUMPRODUCT(1/COUNTIF(TRANSPOSE(SPLIT(N7, "","")),TRANSPOSE(SPLIT(N7, "","")))))"),10.0)</f>
        <v>10</v>
      </c>
      <c r="P7" s="12">
        <f t="shared" si="4"/>
        <v>3</v>
      </c>
      <c r="Q7" s="12" t="str">
        <f t="array" ref="Q7">"""\cite{" &amp; TEXTJOIN(", ",TRUE,IF(ISNUMBER(SEARCH(M7,$C$2:$C999)),$B$2:$B999,"")) &amp; "}"""</f>
        <v>"\cite{yamashita2013exploring, yamashita2015inter, fontana2015towards}"</v>
      </c>
    </row>
    <row r="8">
      <c r="A8" s="3" t="s">
        <v>47</v>
      </c>
      <c r="B8" s="3" t="s">
        <v>48</v>
      </c>
      <c r="C8" s="8" t="s">
        <v>231</v>
      </c>
      <c r="D8" s="12">
        <f t="shared" si="1"/>
        <v>5</v>
      </c>
      <c r="E8" s="8"/>
      <c r="F8" s="14" t="str">
        <f>IFERROR(__xludf.DUMMYFUNCTION("""COMPUTED_VALUE"""),"Blob Class and Blob Operation")</f>
        <v>Blob Class and Blob Operation</v>
      </c>
      <c r="G8" s="3" t="s">
        <v>232</v>
      </c>
      <c r="H8" s="3" t="str">
        <f t="shared" si="2"/>
        <v>Blob Class and Blob Operation</v>
      </c>
      <c r="I8" s="3" t="str">
        <f t="shared" si="3"/>
        <v/>
      </c>
      <c r="J8" s="3" t="str">
        <f>IFERROR(__xludf.DUMMYFUNCTION("""COMPUTED_VALUE"""),"Blob Class and Blob Operation")</f>
        <v>Blob Class and Blob Operation</v>
      </c>
      <c r="K8" s="3" t="str">
        <f>IFERROR(__xludf.DUMMYFUNCTION("""COMPUTED_VALUE"""),"Test Code Duplication")</f>
        <v>Test Code Duplication</v>
      </c>
      <c r="L8" s="3"/>
      <c r="M8" s="3" t="s">
        <v>99</v>
      </c>
      <c r="N8" s="12" t="str">
        <f t="array" ref="N8">"""" &amp; TEXTJOIN(",", TRUE, IF(ISNUMBER(SEARCH(M8,$F$2:$F999)),SUBSTITUTE(SUBSTITUTE($F$2:$F999,M8,"")," and ",""),"")) &amp; """"</f>
        <v>"Blob Class,Data Clump,God Class,Internal Duplication,Shotgun Surgery,External Duplication,Feature Envy,Intensive Coupling,Schizophrenic Class,Tradition Breaker"</v>
      </c>
      <c r="O8" s="12">
        <f>IFERROR(__xludf.DUMMYFUNCTION("IF(N8="""",0,SUMPRODUCT(1/COUNTIF(TRANSPOSE(SPLIT(N8, "","")),TRANSPOSE(SPLIT(N8, "","")))))"),10.0)</f>
        <v>10</v>
      </c>
      <c r="P8" s="12">
        <f t="shared" si="4"/>
        <v>1</v>
      </c>
      <c r="Q8" s="12" t="str">
        <f t="array" ref="Q8">"""\cite{" &amp; TEXTJOIN(", ",TRUE,IF(ISNUMBER(SEARCH(M8,$C$2:$C999)),$B$2:$B999,"")) &amp; "}"""</f>
        <v>"\cite{yamashita2015inter}"</v>
      </c>
    </row>
    <row r="9">
      <c r="A9" s="3" t="s">
        <v>52</v>
      </c>
      <c r="B9" s="3" t="s">
        <v>53</v>
      </c>
      <c r="C9" s="8" t="s">
        <v>233</v>
      </c>
      <c r="D9" s="12">
        <f t="shared" si="1"/>
        <v>2</v>
      </c>
      <c r="E9" s="8"/>
      <c r="F9" s="14" t="str">
        <f>IFERROR(__xludf.DUMMYFUNCTION("""COMPUTED_VALUE"""),"Blob Class and Schizophrenic Class")</f>
        <v>Blob Class and Schizophrenic Class</v>
      </c>
      <c r="G9" s="3" t="s">
        <v>234</v>
      </c>
      <c r="H9" s="3" t="str">
        <f t="shared" si="2"/>
        <v>Blob Class and Schizophrenic Class</v>
      </c>
      <c r="I9" s="3" t="str">
        <f t="shared" si="3"/>
        <v/>
      </c>
      <c r="J9" s="3" t="str">
        <f>IFERROR(__xludf.DUMMYFUNCTION("""COMPUTED_VALUE"""),"Blob Class and Schizophrenic Class")</f>
        <v>Blob Class and Schizophrenic Class</v>
      </c>
      <c r="K9" s="3" t="str">
        <f>IFERROR(__xludf.DUMMYFUNCTION("""COMPUTED_VALUE"""),"Blob Class")</f>
        <v>Blob Class</v>
      </c>
      <c r="L9" s="3"/>
      <c r="M9" s="3" t="s">
        <v>114</v>
      </c>
      <c r="N9" s="12" t="str">
        <f t="array" ref="N9">"""" &amp; TEXTJOIN(",", TRUE, IF(ISNUMBER(SEARCH(M9,$F$2:$F999)),SUBSTITUTE(SUBSTITUTE($F$2:$F999,M9,"")," and ",""),"")) &amp; """"</f>
        <v>"Empty Catch Block,Excessive Class Length,Excessive Method Length,Excessive Number of Children,Excessive Parameter List,Goto Statement,High Coupling,High NPath Complexity,Too Many Methods,Too Many Public Methods"</v>
      </c>
      <c r="O9" s="12">
        <f>IFERROR(__xludf.DUMMYFUNCTION("IF(N9="""",0,SUMPRODUCT(1/COUNTIF(TRANSPOSE(SPLIT(N9, "","")),TRANSPOSE(SPLIT(N9, "","")))))"),10.0)</f>
        <v>10</v>
      </c>
      <c r="P9" s="12">
        <f t="shared" si="4"/>
        <v>1</v>
      </c>
      <c r="Q9" s="12" t="str">
        <f t="array" ref="Q9">"""\cite{" &amp; TEXTJOIN(", ",TRUE,IF(ISNUMBER(SEARCH(M9,$C$2:$C999)),$B$2:$B999,"")) &amp; "}"""</f>
        <v>"\cite{bessghaier2020diffusion}"</v>
      </c>
    </row>
    <row r="10">
      <c r="A10" s="3" t="s">
        <v>57</v>
      </c>
      <c r="B10" s="3" t="s">
        <v>58</v>
      </c>
      <c r="C10" s="8" t="s">
        <v>235</v>
      </c>
      <c r="D10" s="12">
        <f t="shared" si="1"/>
        <v>2</v>
      </c>
      <c r="E10" s="8"/>
      <c r="F10" s="14" t="str">
        <f>IFERROR(__xludf.DUMMYFUNCTION("""COMPUTED_VALUE"""),"Blob Class and Tradition Breaker")</f>
        <v>Blob Class and Tradition Breaker</v>
      </c>
      <c r="G10" s="3" t="s">
        <v>236</v>
      </c>
      <c r="H10" s="3" t="str">
        <f t="shared" si="2"/>
        <v>Blob Class and Tradition Breaker</v>
      </c>
      <c r="I10" s="3" t="str">
        <f t="shared" si="3"/>
        <v/>
      </c>
      <c r="J10" s="3" t="str">
        <f>IFERROR(__xludf.DUMMYFUNCTION("""COMPUTED_VALUE"""),"Blob Class and Tradition Breaker")</f>
        <v>Blob Class and Tradition Breaker</v>
      </c>
      <c r="K10" s="3" t="str">
        <f>IFERROR(__xludf.DUMMYFUNCTION("""COMPUTED_VALUE"""),"Blob Operation")</f>
        <v>Blob Operation</v>
      </c>
      <c r="L10" s="3"/>
      <c r="M10" s="3" t="s">
        <v>120</v>
      </c>
      <c r="N10" s="12" t="str">
        <f t="array" ref="N10">"""" &amp; TEXTJOIN(",", TRUE, IF(ISNUMBER(SEARCH(M10,$F$2:$F999)),SUBSTITUTE(SUBSTITUTE($F$2:$F999,M10,"")," and ",""),"")) &amp; """"</f>
        <v>"Blob Class,Data Class,Feature Envy,God Class,Internal Duplication,Message Chain,Blob Operation,Data Clump,Intensive Coupling,Tradition Breaker"</v>
      </c>
      <c r="O10" s="12">
        <f>IFERROR(__xludf.DUMMYFUNCTION("IF(N10="""",0,SUMPRODUCT(1/COUNTIF(TRANSPOSE(SPLIT(N10, "","")),TRANSPOSE(SPLIT(N10, "","")))))"),10.0)</f>
        <v>10</v>
      </c>
      <c r="P10" s="12">
        <f t="shared" si="4"/>
        <v>1</v>
      </c>
      <c r="Q10" s="12" t="str">
        <f t="array" ref="Q10">"""\cite{" &amp; TEXTJOIN(", ",TRUE,IF(ISNUMBER(SEARCH(M10,$C$2:$C999)),$B$2:$B999,"")) &amp; "}"""</f>
        <v>"\cite{yamashita2015inter}"</v>
      </c>
    </row>
    <row r="11">
      <c r="A11" s="3" t="s">
        <v>63</v>
      </c>
      <c r="B11" s="3" t="s">
        <v>64</v>
      </c>
      <c r="C11" s="8" t="s">
        <v>237</v>
      </c>
      <c r="D11" s="12">
        <f t="shared" si="1"/>
        <v>7</v>
      </c>
      <c r="E11" s="8"/>
      <c r="F11" s="14" t="str">
        <f>IFERROR(__xludf.DUMMYFUNCTION("""COMPUTED_VALUE"""),"Blob Operation and Data Clump")</f>
        <v>Blob Operation and Data Clump</v>
      </c>
      <c r="G11" s="3" t="s">
        <v>238</v>
      </c>
      <c r="H11" s="3" t="str">
        <f t="shared" si="2"/>
        <v>Blob Operation and Data Clump</v>
      </c>
      <c r="I11" s="3" t="str">
        <f t="shared" si="3"/>
        <v/>
      </c>
      <c r="J11" s="3" t="str">
        <f>IFERROR(__xludf.DUMMYFUNCTION("""COMPUTED_VALUE"""),"Blob Operation and Data Clump")</f>
        <v>Blob Operation and Data Clump</v>
      </c>
      <c r="K11" s="3" t="str">
        <f>IFERROR(__xludf.DUMMYFUNCTION("""COMPUTED_VALUE"""),"Schizophrenic Class")</f>
        <v>Schizophrenic Class</v>
      </c>
      <c r="L11" s="3"/>
      <c r="M11" s="3" t="s">
        <v>24</v>
      </c>
      <c r="N11" s="12" t="str">
        <f t="array" ref="N11">"""" &amp; TEXTJOIN(",", TRUE, IF(ISNUMBER(SEARCH(M11,$F$2:$F999)),SUBSTITUTE(SUBSTITUTE($F$2:$F999,M11,"")," and ",""),"")) &amp; """"</f>
        <v>"Dispersed Coupling,Fear of the Unknown,Feature Envy,God Class,Intensive Coupling,Feature Envy,Long Parameter List,Member Ignoring Method,Spaghetti Code"</v>
      </c>
      <c r="O11" s="12">
        <f>IFERROR(__xludf.DUMMYFUNCTION("IF(N11="""",0,SUMPRODUCT(1/COUNTIF(TRANSPOSE(SPLIT(N11, "","")),TRANSPOSE(SPLIT(N11, "","")))))"),8.0)</f>
        <v>8</v>
      </c>
      <c r="P11" s="12">
        <f t="shared" si="4"/>
        <v>6</v>
      </c>
      <c r="Q11" s="12" t="str">
        <f t="array" ref="Q11">"""\cite{" &amp; TEXTJOIN(", ",TRUE,IF(ISNUMBER(SEARCH(M11,$C$2:$C999)),$B$2:$B999,"")) &amp; "}"""</f>
        <v>"\cite{palomba2017investigating, palomba2018large, martins2020code, muse2020prevalence, martins2021code, hamdi2021empirical}"</v>
      </c>
    </row>
    <row r="12">
      <c r="A12" s="3" t="s">
        <v>69</v>
      </c>
      <c r="B12" s="3" t="s">
        <v>70</v>
      </c>
      <c r="C12" s="8" t="s">
        <v>239</v>
      </c>
      <c r="D12" s="12">
        <f t="shared" si="1"/>
        <v>20</v>
      </c>
      <c r="E12" s="8"/>
      <c r="F12" s="14" t="str">
        <f>IFERROR(__xludf.DUMMYFUNCTION("""COMPUTED_VALUE"""),"Blob Operation and God Class")</f>
        <v>Blob Operation and God Class</v>
      </c>
      <c r="G12" s="3" t="s">
        <v>240</v>
      </c>
      <c r="H12" s="3" t="str">
        <f t="shared" si="2"/>
        <v>Blob Operation and God Class</v>
      </c>
      <c r="I12" s="3" t="str">
        <f t="shared" si="3"/>
        <v/>
      </c>
      <c r="J12" s="3" t="str">
        <f>IFERROR(__xludf.DUMMYFUNCTION("""COMPUTED_VALUE"""),"Blob Operation and God Class")</f>
        <v>Blob Operation and God Class</v>
      </c>
      <c r="K12" s="3" t="str">
        <f>IFERROR(__xludf.DUMMYFUNCTION("""COMPUTED_VALUE"""),"Tradition Breaker")</f>
        <v>Tradition Breaker</v>
      </c>
      <c r="L12" s="3"/>
      <c r="M12" s="3" t="s">
        <v>36</v>
      </c>
      <c r="N12" s="12" t="str">
        <f t="array" ref="N12">"""" &amp; TEXTJOIN(",", TRUE, IF(ISNUMBER(SEARCH(M12,$F$2:$F999)),SUBSTITUTE(SUBSTITUTE($F$2:$F999,M12,"")," and ",""),"")) &amp; """"</f>
        <v>"Feature Envy,Member Ignoring Method,Message Chain,Duplicate Code!,Fear of the Unknown,Implicit Columns,Large Class,Message Chain"</v>
      </c>
      <c r="O12" s="12">
        <f>IFERROR(__xludf.DUMMYFUNCTION("IF(N12="""",0,SUMPRODUCT(1/COUNTIF(TRANSPOSE(SPLIT(N12, "","")),TRANSPOSE(SPLIT(N12, "","")))))"),8.0)</f>
        <v>8</v>
      </c>
      <c r="P12" s="12">
        <f t="shared" si="4"/>
        <v>5</v>
      </c>
      <c r="Q12" s="12" t="str">
        <f t="array" ref="Q12">"""\cite{" &amp; TEXTJOIN(", ",TRUE,IF(ISNUMBER(SEARCH(M12,$C$2:$C999)),$B$2:$B999,"")) &amp; "}"""</f>
        <v>"\cite{palomba2017investigating, palomba2018large, muse2020prevalence, sobrinho2021interplay, hamdi2021empirical}"</v>
      </c>
    </row>
    <row r="13">
      <c r="A13" s="3" t="s">
        <v>74</v>
      </c>
      <c r="B13" s="3" t="s">
        <v>75</v>
      </c>
      <c r="C13" s="8" t="s">
        <v>241</v>
      </c>
      <c r="D13" s="12">
        <f t="shared" si="1"/>
        <v>6</v>
      </c>
      <c r="E13" s="8"/>
      <c r="F13" s="14" t="str">
        <f>IFERROR(__xludf.DUMMYFUNCTION("""COMPUTED_VALUE"""),"Blob Operation and Internal Duplication")</f>
        <v>Blob Operation and Internal Duplication</v>
      </c>
      <c r="G13" s="3" t="s">
        <v>242</v>
      </c>
      <c r="H13" s="3" t="str">
        <f t="shared" si="2"/>
        <v>Blob Operation and Internal Duplication</v>
      </c>
      <c r="I13" s="3" t="str">
        <f t="shared" si="3"/>
        <v/>
      </c>
      <c r="J13" s="3" t="str">
        <f>IFERROR(__xludf.DUMMYFUNCTION("""COMPUTED_VALUE"""),"Blob Operation and Internal Duplication")</f>
        <v>Blob Operation and Internal Duplication</v>
      </c>
      <c r="K13" s="3" t="str">
        <f>IFERROR(__xludf.DUMMYFUNCTION("""COMPUTED_VALUE"""),"Data Clump")</f>
        <v>Data Clump</v>
      </c>
      <c r="L13" s="3"/>
      <c r="M13" s="3" t="s">
        <v>56</v>
      </c>
      <c r="N13" s="12" t="str">
        <f t="array" ref="N13">"""" &amp; TEXTJOIN(",", TRUE, IF(ISNUMBER(SEARCH(M13,$F$2:$F999)),SUBSTITUTE(SUBSTITUTE($F$2:$F999,M13,"")," and ",""),"")) &amp; """"</f>
        <v>"Blob Operation,Data Class,Data Clump,Feature Envy,God Class,God Method,Internal Duplication"</v>
      </c>
      <c r="O13" s="12">
        <f>IFERROR(__xludf.DUMMYFUNCTION("IF(N13="""",0,SUMPRODUCT(1/COUNTIF(TRANSPOSE(SPLIT(N13, "","")),TRANSPOSE(SPLIT(N13, "","")))))"),7.0)</f>
        <v>7</v>
      </c>
      <c r="P13" s="12">
        <f t="shared" si="4"/>
        <v>3</v>
      </c>
      <c r="Q13" s="12" t="str">
        <f t="array" ref="Q13">"""\cite{" &amp; TEXTJOIN(", ",TRUE,IF(ISNUMBER(SEARCH(M13,$C$2:$C999)),$B$2:$B999,"")) &amp; "}"""</f>
        <v>"\cite{yamashita2013exploring, yamashita2015inter, martins2021code}"</v>
      </c>
    </row>
    <row r="14">
      <c r="A14" s="3" t="s">
        <v>79</v>
      </c>
      <c r="B14" s="3" t="s">
        <v>80</v>
      </c>
      <c r="C14" s="8" t="s">
        <v>243</v>
      </c>
      <c r="D14" s="12">
        <f t="shared" si="1"/>
        <v>3</v>
      </c>
      <c r="E14" s="8"/>
      <c r="F14" s="14" t="str">
        <f>IFERROR(__xludf.DUMMYFUNCTION("""COMPUTED_VALUE"""),"Blob Operation and Shotgun Surgery")</f>
        <v>Blob Operation and Shotgun Surgery</v>
      </c>
      <c r="G14" s="3" t="s">
        <v>244</v>
      </c>
      <c r="H14" s="3" t="str">
        <f t="shared" si="2"/>
        <v>Blob Operation and Shotgun Surgery</v>
      </c>
      <c r="I14" s="3" t="str">
        <f t="shared" si="3"/>
        <v/>
      </c>
      <c r="J14" s="3" t="str">
        <f>IFERROR(__xludf.DUMMYFUNCTION("""COMPUTED_VALUE"""),"Blob Operation and Shotgun Surgery")</f>
        <v>Blob Operation and Shotgun Surgery</v>
      </c>
      <c r="K14" s="3" t="str">
        <f>IFERROR(__xludf.DUMMYFUNCTION("""COMPUTED_VALUE"""),"God Class")</f>
        <v>God Class</v>
      </c>
      <c r="L14" s="3"/>
      <c r="M14" s="3" t="s">
        <v>91</v>
      </c>
      <c r="N14" s="12" t="str">
        <f t="array" ref="N14">"""" &amp; TEXTJOIN(",", TRUE, IF(ISNUMBER(SEARCH(M14,$F$2:$F999)),SUBSTITUTE(SUBSTITUTE($F$2:$F999,M14,"")," and ",""),"")) &amp; """"</f>
        <v>"Feature Envy,God Class,Blob Operation,Data Clump,Long Method,Internal Duplication,Schizophrenic Class"</v>
      </c>
      <c r="O14" s="12">
        <f>IFERROR(__xludf.DUMMYFUNCTION("IF(N14="""",0,SUMPRODUCT(1/COUNTIF(TRANSPOSE(SPLIT(N14, "","")),TRANSPOSE(SPLIT(N14, "","")))))"),7.0)</f>
        <v>7</v>
      </c>
      <c r="P14" s="12">
        <f t="shared" si="4"/>
        <v>2</v>
      </c>
      <c r="Q14" s="12" t="str">
        <f t="array" ref="Q14">"""\cite{" &amp; TEXTJOIN(", ",TRUE,IF(ISNUMBER(SEARCH(M14,$C$2:$C999)),$B$2:$B999,"")) &amp; "}"""</f>
        <v>"\cite{yamashita2015inter, martins2021code}"</v>
      </c>
    </row>
    <row r="15">
      <c r="A15" s="3" t="s">
        <v>84</v>
      </c>
      <c r="B15" s="3" t="s">
        <v>85</v>
      </c>
      <c r="C15" s="8" t="s">
        <v>245</v>
      </c>
      <c r="D15" s="12">
        <f t="shared" si="1"/>
        <v>12</v>
      </c>
      <c r="E15" s="8"/>
      <c r="F15" s="14" t="str">
        <f>IFERROR(__xludf.DUMMYFUNCTION("""COMPUTED_VALUE"""),"Blob! and Spaghetti Code")</f>
        <v>Blob! and Spaghetti Code</v>
      </c>
      <c r="G15" s="3" t="s">
        <v>246</v>
      </c>
      <c r="H15" s="3" t="str">
        <f t="shared" si="2"/>
        <v>Blob! and Spaghetti Code</v>
      </c>
      <c r="I15" s="3" t="str">
        <f t="shared" si="3"/>
        <v/>
      </c>
      <c r="J15" s="3" t="str">
        <f>IFERROR(__xludf.DUMMYFUNCTION("""COMPUTED_VALUE"""),"Blob! and Spaghetti Code")</f>
        <v>Blob! and Spaghetti Code</v>
      </c>
      <c r="K15" s="3" t="str">
        <f>IFERROR(__xludf.DUMMYFUNCTION("""COMPUTED_VALUE"""),"Internal Duplication")</f>
        <v>Internal Duplication</v>
      </c>
      <c r="L15" s="3"/>
      <c r="M15" s="3" t="s">
        <v>110</v>
      </c>
      <c r="N15" s="12" t="str">
        <f t="array" ref="N15">"""" &amp; TEXTJOIN(",", TRUE, IF(ISNUMBER(SEARCH(M15,$F$2:$F999)),SUBSTITUTE(SUBSTITUTE($F$2:$F999,M15,"")," and ",""),"")) &amp; """"</f>
        <v>"Data Class,Data Clump,Blob Operation,God Class,Internal Duplication,Message Chain,Sibling Duplication"</v>
      </c>
      <c r="O15" s="12">
        <f>IFERROR(__xludf.DUMMYFUNCTION("IF(N15="""",0,SUMPRODUCT(1/COUNTIF(TRANSPOSE(SPLIT(N15, "","")),TRANSPOSE(SPLIT(N15, "","")))))"),7.0)</f>
        <v>7</v>
      </c>
      <c r="P15" s="12">
        <f t="shared" si="4"/>
        <v>1</v>
      </c>
      <c r="Q15" s="12" t="str">
        <f t="array" ref="Q15">"""\cite{" &amp; TEXTJOIN(", ",TRUE,IF(ISNUMBER(SEARCH(M15,$C$2:$C999)),$B$2:$B999,"")) &amp; "}"""</f>
        <v>"\cite{yamashita2015inter}"</v>
      </c>
    </row>
    <row r="16">
      <c r="A16" s="8"/>
      <c r="B16" s="8"/>
      <c r="C16" s="8"/>
      <c r="D16" s="8"/>
      <c r="E16" s="8"/>
      <c r="F16" s="14" t="str">
        <f>IFERROR(__xludf.DUMMYFUNCTION("""COMPUTED_VALUE"""),"Complex Class and Feature Envy")</f>
        <v>Complex Class and Feature Envy</v>
      </c>
      <c r="G16" s="3" t="s">
        <v>247</v>
      </c>
      <c r="H16" s="3" t="str">
        <f t="shared" si="2"/>
        <v>Complex Class and Feature Envy</v>
      </c>
      <c r="I16" s="3" t="str">
        <f t="shared" si="3"/>
        <v/>
      </c>
      <c r="J16" s="3" t="str">
        <f>IFERROR(__xludf.DUMMYFUNCTION("""COMPUTED_VALUE"""),"Complex Class and Feature Envy")</f>
        <v>Complex Class and Feature Envy</v>
      </c>
      <c r="K16" s="3" t="str">
        <f>IFERROR(__xludf.DUMMYFUNCTION("""COMPUTED_VALUE"""),"Shotgun Surgery")</f>
        <v>Shotgun Surgery</v>
      </c>
      <c r="L16" s="8"/>
      <c r="M16" s="8" t="s">
        <v>141</v>
      </c>
      <c r="N16" s="12" t="str">
        <f t="array" ref="N16">"""" &amp; TEXTJOIN(",", TRUE, IF(ISNUMBER(SEARCH(M16,$F$2:$F999)),SUBSTITUTE(SUBSTITUTE($F$2:$F999,M16,"")," and ",""),"")) &amp; """"</f>
        <v>"Complex Class,Leaking Inner Class,Long Method,Long Parameter List,Message Chain,No Low Memory Resolver,Slow Loop"</v>
      </c>
      <c r="O16" s="12">
        <f>IFERROR(__xludf.DUMMYFUNCTION("IF(N16="""",0,SUMPRODUCT(1/COUNTIF(TRANSPOSE(SPLIT(N16, "","")),TRANSPOSE(SPLIT(N16, "","")))))"),7.0)</f>
        <v>7</v>
      </c>
      <c r="P16" s="12">
        <f t="shared" si="4"/>
        <v>1</v>
      </c>
      <c r="Q16" s="12" t="str">
        <f t="array" ref="Q16">"""\cite{" &amp; TEXTJOIN(", ",TRUE,IF(ISNUMBER(SEARCH(M16,$C$2:$C999)),$B$2:$B999,"")) &amp; "}"""</f>
        <v>"\cite{hamdi2021empirical}"</v>
      </c>
    </row>
    <row r="17">
      <c r="A17" s="8"/>
      <c r="B17" s="8"/>
      <c r="C17" s="8"/>
      <c r="D17" s="8"/>
      <c r="E17" s="8"/>
      <c r="F17" s="14" t="str">
        <f>IFERROR(__xludf.DUMMYFUNCTION("""COMPUTED_VALUE"""),"Complex Class and Member Ignoring Method")</f>
        <v>Complex Class and Member Ignoring Method</v>
      </c>
      <c r="G17" s="3" t="s">
        <v>248</v>
      </c>
      <c r="H17" s="3" t="str">
        <f t="shared" si="2"/>
        <v>Complex Class and Member Ignoring Method</v>
      </c>
      <c r="I17" s="3" t="str">
        <f t="shared" si="3"/>
        <v/>
      </c>
      <c r="J17" s="3" t="str">
        <f>IFERROR(__xludf.DUMMYFUNCTION("""COMPUTED_VALUE"""),"Complex Class and Member Ignoring Method")</f>
        <v>Complex Class and Member Ignoring Method</v>
      </c>
      <c r="K17" s="3" t="str">
        <f>IFERROR(__xludf.DUMMYFUNCTION("""COMPUTED_VALUE"""),"Blob!")</f>
        <v>Blob!</v>
      </c>
      <c r="L17" s="3"/>
      <c r="M17" s="3" t="s">
        <v>51</v>
      </c>
      <c r="N17" s="12" t="str">
        <f t="array" ref="N17">"""" &amp; TEXTJOIN(",", TRUE, IF(ISNUMBER(SEARCH(M17,$F$2:$F999)),SUBSTITUTE(SUBSTITUTE($F$2:$F999,M17,"")," and ",""),"")) &amp; """"</f>
        <v>"Fear of the Unknown,Implicit Columns,Long Method,Class Data Should Be Private,Feature Envy,Member Ignoring Method"</v>
      </c>
      <c r="O17" s="12">
        <f>IFERROR(__xludf.DUMMYFUNCTION("IF(N17="""",0,SUMPRODUCT(1/COUNTIF(TRANSPOSE(SPLIT(N17, "","")),TRANSPOSE(SPLIT(N17, "","")))))"),6.0)</f>
        <v>6</v>
      </c>
      <c r="P17" s="12">
        <f t="shared" si="4"/>
        <v>4</v>
      </c>
      <c r="Q17" s="12" t="str">
        <f t="array" ref="Q17">"""\cite{" &amp; TEXTJOIN(", ",TRUE,IF(ISNUMBER(SEARCH(M17,$C$2:$C999)),$B$2:$B999,"")) &amp; "}"""</f>
        <v>"\cite{palomba2017investigating, ogenrwot2020comparison, muse2020prevalence, hamdi2021empirical}"</v>
      </c>
    </row>
    <row r="18">
      <c r="A18" s="8"/>
      <c r="B18" s="8"/>
      <c r="C18" s="8"/>
      <c r="D18" s="8"/>
      <c r="E18" s="8"/>
      <c r="F18" s="14" t="str">
        <f>IFERROR(__xludf.DUMMYFUNCTION("""COMPUTED_VALUE"""),"Complex Class and Message Chain")</f>
        <v>Complex Class and Message Chain</v>
      </c>
      <c r="G18" s="3" t="s">
        <v>249</v>
      </c>
      <c r="H18" s="3" t="str">
        <f t="shared" si="2"/>
        <v/>
      </c>
      <c r="I18" s="3" t="str">
        <f t="shared" si="3"/>
        <v>Complex Class and Message Chain</v>
      </c>
      <c r="J18" s="3" t="str">
        <f>IFERROR(__xludf.DUMMYFUNCTION("""COMPUTED_VALUE"""),"Data Class and External Duplication")</f>
        <v>Data Class and External Duplication</v>
      </c>
      <c r="K18" s="3" t="str">
        <f>IFERROR(__xludf.DUMMYFUNCTION("""COMPUTED_VALUE"""),"Spaghetti Code")</f>
        <v>Spaghetti Code</v>
      </c>
      <c r="L18" s="3"/>
      <c r="M18" s="3" t="s">
        <v>148</v>
      </c>
      <c r="N18" s="12" t="str">
        <f t="array" ref="N18">"""" &amp; TEXTJOIN(",", TRUE, IF(ISNUMBER(SEARCH(M18,$F$2:$F999)),SUBSTITUTE(SUBSTITUTE($F$2:$F999,M18,"")," and ",""),"")) &amp; """"</f>
        <v>"Eager Test,Indirect Testing,Mystery Guest,Resource Optimism,Sensitive Equality,Test Code Duplication"</v>
      </c>
      <c r="O18" s="12">
        <f>IFERROR(__xludf.DUMMYFUNCTION("IF(N18="""",0,SUMPRODUCT(1/COUNTIF(TRANSPOSE(SPLIT(N18, "","")),TRANSPOSE(SPLIT(N18, "","")))))"),6.0)</f>
        <v>6</v>
      </c>
      <c r="P18" s="12">
        <f t="shared" si="4"/>
        <v>1</v>
      </c>
      <c r="Q18" s="12" t="str">
        <f t="array" ref="Q18">"""\cite{" &amp; TEXTJOIN(", ",TRUE,IF(ISNUMBER(SEARCH(M18,$C$2:$C999)),$B$2:$B999,"")) &amp; "}"""</f>
        <v>"\cite{palomba2016diffusion}"</v>
      </c>
    </row>
    <row r="19">
      <c r="A19" s="8"/>
      <c r="B19" s="8"/>
      <c r="C19" s="8"/>
      <c r="D19" s="8"/>
      <c r="E19" s="8"/>
      <c r="F19" s="14" t="str">
        <f>IFERROR(__xludf.DUMMYFUNCTION("""COMPUTED_VALUE"""),"Data Class and External Duplication")</f>
        <v>Data Class and External Duplication</v>
      </c>
      <c r="G19" s="3" t="s">
        <v>250</v>
      </c>
      <c r="H19" s="3" t="str">
        <f t="shared" si="2"/>
        <v>Data Class and External Duplication</v>
      </c>
      <c r="I19" s="3" t="str">
        <f t="shared" si="3"/>
        <v/>
      </c>
      <c r="J19" s="3" t="str">
        <f>IFERROR(__xludf.DUMMYFUNCTION("""COMPUTED_VALUE"""),"Data Class and Interface Segregation Principle Violation")</f>
        <v>Data Class and Interface Segregation Principle Violation</v>
      </c>
      <c r="K19" s="3" t="str">
        <f>IFERROR(__xludf.DUMMYFUNCTION("""COMPUTED_VALUE"""),"Complex Class")</f>
        <v>Complex Class</v>
      </c>
      <c r="L19" s="3"/>
      <c r="M19" s="3" t="s">
        <v>111</v>
      </c>
      <c r="N19" s="12" t="str">
        <f t="array" ref="N19">"""" &amp; TEXTJOIN(",", TRUE, IF(ISNUMBER(SEARCH(M19,$F$2:$F999)),SUBSTITUTE(SUBSTITUTE($F$2:$F999,M19,"")," and ",""),"")) &amp; """"</f>
        <v>"Data Class,Data Clump,Duplicate Code in Conditional Branches,Interface Segregation Principle Violation,Shotgun Surgery,Temporary Variable Used for Several Purposes"</v>
      </c>
      <c r="O19" s="12">
        <f>IFERROR(__xludf.DUMMYFUNCTION("IF(N19="""",0,SUMPRODUCT(1/COUNTIF(TRANSPOSE(SPLIT(N19, "","")),TRANSPOSE(SPLIT(N19, "","")))))"),6.0)</f>
        <v>6</v>
      </c>
      <c r="P19" s="12">
        <f t="shared" si="4"/>
        <v>1</v>
      </c>
      <c r="Q19" s="12" t="str">
        <f t="array" ref="Q19">"""\cite{" &amp; TEXTJOIN(", ",TRUE,IF(ISNUMBER(SEARCH(M19,$C$2:$C999)),$B$2:$B999,"")) &amp; "}"""</f>
        <v>"\cite{yamashita2013exploring}"</v>
      </c>
    </row>
    <row r="20">
      <c r="A20" s="8"/>
      <c r="B20" s="8"/>
      <c r="C20" s="8"/>
      <c r="D20" s="8"/>
      <c r="E20" s="8"/>
      <c r="F20" s="14" t="str">
        <f>IFERROR(__xludf.DUMMYFUNCTION("""COMPUTED_VALUE"""),"Data Class and Feature Envy")</f>
        <v>Data Class and Feature Envy</v>
      </c>
      <c r="G20" s="3" t="s">
        <v>251</v>
      </c>
      <c r="H20" s="3" t="str">
        <f t="shared" si="2"/>
        <v/>
      </c>
      <c r="I20" s="3" t="str">
        <f t="shared" si="3"/>
        <v>Data Class and Feature Envy</v>
      </c>
      <c r="J20" s="3" t="str">
        <f>IFERROR(__xludf.DUMMYFUNCTION("""COMPUTED_VALUE"""),"Data Class and Message Chain")</f>
        <v>Data Class and Message Chain</v>
      </c>
      <c r="K20" s="3" t="str">
        <f>IFERROR(__xludf.DUMMYFUNCTION("""COMPUTED_VALUE"""),"Feature Envy")</f>
        <v>Feature Envy</v>
      </c>
      <c r="L20" s="3"/>
      <c r="M20" s="3" t="s">
        <v>150</v>
      </c>
      <c r="N20" s="12" t="str">
        <f t="array" ref="N20">"""" &amp; TEXTJOIN(",", TRUE, IF(ISNUMBER(SEARCH(M20,$F$2:$F999)),SUBSTITUTE(SUBSTITUTE($F$2:$F999,M20,"")," and ",""),"")) &amp; """"</f>
        <v>"Assertion Roulette,Indirect Testing,Resource Optimism,Mystery Guest,Test Code Duplication"</v>
      </c>
      <c r="O20" s="12">
        <f>IFERROR(__xludf.DUMMYFUNCTION("IF(N20="""",0,SUMPRODUCT(1/COUNTIF(TRANSPOSE(SPLIT(N20, "","")),TRANSPOSE(SPLIT(N20, "","")))))"),5.0)</f>
        <v>5</v>
      </c>
      <c r="P20" s="12">
        <f t="shared" si="4"/>
        <v>1</v>
      </c>
      <c r="Q20" s="12" t="str">
        <f t="array" ref="Q20">"""\cite{" &amp; TEXTJOIN(", ",TRUE,IF(ISNUMBER(SEARCH(M20,$C$2:$C999)),$B$2:$B999,"")) &amp; "}"""</f>
        <v>"\cite{palomba2016diffusion}"</v>
      </c>
    </row>
    <row r="21">
      <c r="A21" s="8"/>
      <c r="B21" s="8"/>
      <c r="C21" s="8"/>
      <c r="D21" s="8"/>
      <c r="E21" s="8"/>
      <c r="F21" s="14" t="str">
        <f>IFERROR(__xludf.DUMMYFUNCTION("""COMPUTED_VALUE"""),"Data Class and Interface Segregation Principle Violation")</f>
        <v>Data Class and Interface Segregation Principle Violation</v>
      </c>
      <c r="G21" s="3" t="s">
        <v>252</v>
      </c>
      <c r="H21" s="3" t="str">
        <f t="shared" si="2"/>
        <v>Data Class and Interface Segregation Principle Violation</v>
      </c>
      <c r="I21" s="3" t="str">
        <f t="shared" si="3"/>
        <v/>
      </c>
      <c r="J21" s="3" t="str">
        <f>IFERROR(__xludf.DUMMYFUNCTION("""COMPUTED_VALUE"""),"Data Class and Schizophrenic Class")</f>
        <v>Data Class and Schizophrenic Class</v>
      </c>
      <c r="K21" s="3" t="str">
        <f>IFERROR(__xludf.DUMMYFUNCTION("""COMPUTED_VALUE"""),"Member Ignoring Method")</f>
        <v>Member Ignoring Method</v>
      </c>
      <c r="L21" s="3"/>
      <c r="M21" s="3" t="s">
        <v>116</v>
      </c>
      <c r="N21" s="12" t="str">
        <f t="array" ref="N21">"""" &amp; TEXTJOIN(",", TRUE, IF(ISNUMBER(SEARCH(M21,$F$2:$F999)),SUBSTITUTE(SUBSTITUTE($F$2:$F999,M21,"")," and ",""),"")) &amp; """"</f>
        <v>"Data Class,Data Clump,Feature Envy,God Class,God Method"</v>
      </c>
      <c r="O21" s="12">
        <f>IFERROR(__xludf.DUMMYFUNCTION("IF(N21="""",0,SUMPRODUCT(1/COUNTIF(TRANSPOSE(SPLIT(N21, "","")),TRANSPOSE(SPLIT(N21, "","")))))"),5.0)</f>
        <v>5</v>
      </c>
      <c r="P21" s="12">
        <f t="shared" si="4"/>
        <v>1</v>
      </c>
      <c r="Q21" s="12" t="str">
        <f t="array" ref="Q21">"""\cite{" &amp; TEXTJOIN(", ",TRUE,IF(ISNUMBER(SEARCH(M21,$C$2:$C999)),$B$2:$B999,"")) &amp; "}"""</f>
        <v>"\cite{yamashita2013exploring}"</v>
      </c>
    </row>
    <row r="22">
      <c r="A22" s="8"/>
      <c r="B22" s="8"/>
      <c r="C22" s="8"/>
      <c r="D22" s="8"/>
      <c r="E22" s="8"/>
      <c r="F22" s="14" t="str">
        <f>IFERROR(__xludf.DUMMYFUNCTION("""COMPUTED_VALUE"""),"Data Class and Message Chain")</f>
        <v>Data Class and Message Chain</v>
      </c>
      <c r="G22" s="3" t="s">
        <v>253</v>
      </c>
      <c r="H22" s="3" t="str">
        <f t="shared" si="2"/>
        <v>Data Class and Message Chain</v>
      </c>
      <c r="I22" s="3" t="str">
        <f t="shared" si="3"/>
        <v/>
      </c>
      <c r="J22" s="3" t="str">
        <f>IFERROR(__xludf.DUMMYFUNCTION("""COMPUTED_VALUE"""),"Data Class and Shotgun Surgery")</f>
        <v>Data Class and Shotgun Surgery</v>
      </c>
      <c r="K22" s="3" t="str">
        <f>IFERROR(__xludf.DUMMYFUNCTION("""COMPUTED_VALUE"""),"Data Class")</f>
        <v>Data Class</v>
      </c>
      <c r="L22" s="3"/>
      <c r="M22" s="3" t="s">
        <v>153</v>
      </c>
      <c r="N22" s="12" t="str">
        <f t="array" ref="N22">"""" &amp; TEXTJOIN(",", TRUE, IF(ISNUMBER(SEARCH(M22,$F$2:$F999)),SUBSTITUTE(SUBSTITUTE($F$2:$F999,M22,"")," and ",""),"")) &amp; """"</f>
        <v>"Assertion Roulette,Eager Test,Indirect Testing,Resource Optimism,Test Code Duplication"</v>
      </c>
      <c r="O22" s="12">
        <f>IFERROR(__xludf.DUMMYFUNCTION("IF(N22="""",0,SUMPRODUCT(1/COUNTIF(TRANSPOSE(SPLIT(N22, "","")),TRANSPOSE(SPLIT(N22, "","")))))"),5.0)</f>
        <v>5</v>
      </c>
      <c r="P22" s="12">
        <f t="shared" si="4"/>
        <v>1</v>
      </c>
      <c r="Q22" s="12" t="str">
        <f t="array" ref="Q22">"""\cite{" &amp; TEXTJOIN(", ",TRUE,IF(ISNUMBER(SEARCH(M22,$C$2:$C999)),$B$2:$B999,"")) &amp; "}"""</f>
        <v>"\cite{palomba2016diffusion}"</v>
      </c>
    </row>
    <row r="23">
      <c r="A23" s="8"/>
      <c r="B23" s="8"/>
      <c r="C23" s="8"/>
      <c r="D23" s="8"/>
      <c r="E23" s="8"/>
      <c r="F23" s="14" t="str">
        <f>IFERROR(__xludf.DUMMYFUNCTION("""COMPUTED_VALUE"""),"Data Class and Schizophrenic Class")</f>
        <v>Data Class and Schizophrenic Class</v>
      </c>
      <c r="G23" s="3" t="s">
        <v>254</v>
      </c>
      <c r="H23" s="3" t="str">
        <f t="shared" si="2"/>
        <v>Data Class and Schizophrenic Class</v>
      </c>
      <c r="I23" s="3" t="str">
        <f t="shared" si="3"/>
        <v/>
      </c>
      <c r="J23" s="3" t="str">
        <f>IFERROR(__xludf.DUMMYFUNCTION("""COMPUTED_VALUE"""),"Data Clump and External Duplication")</f>
        <v>Data Clump and External Duplication</v>
      </c>
      <c r="K23" s="3" t="str">
        <f>IFERROR(__xludf.DUMMYFUNCTION("""COMPUTED_VALUE"""),"External Duplication")</f>
        <v>External Duplication</v>
      </c>
      <c r="L23" s="3"/>
      <c r="M23" s="3" t="s">
        <v>156</v>
      </c>
      <c r="N23" s="12" t="str">
        <f t="array" ref="N23">"""" &amp; TEXTJOIN(",", TRUE, IF(ISNUMBER(SEARCH(M23,$F$2:$F999)),SUBSTITUTE(SUBSTITUTE($F$2:$F999,M23,"")," and ",""),"")) &amp; """"</f>
        <v>"Assertion Roulette,Eager Test,Indirect Testing,Mystery Guest,Sensitive Equality"</v>
      </c>
      <c r="O23" s="12">
        <f>IFERROR(__xludf.DUMMYFUNCTION("IF(N23="""",0,SUMPRODUCT(1/COUNTIF(TRANSPOSE(SPLIT(N23, "","")),TRANSPOSE(SPLIT(N23, "","")))))"),5.0)</f>
        <v>5</v>
      </c>
      <c r="P23" s="12">
        <f t="shared" si="4"/>
        <v>1</v>
      </c>
      <c r="Q23" s="12" t="str">
        <f t="array" ref="Q23">"""\cite{" &amp; TEXTJOIN(", ",TRUE,IF(ISNUMBER(SEARCH(M23,$C$2:$C999)),$B$2:$B999,"")) &amp; "}"""</f>
        <v>"\cite{palomba2016diffusion}"</v>
      </c>
    </row>
    <row r="24">
      <c r="A24" s="8"/>
      <c r="B24" s="8"/>
      <c r="C24" s="8"/>
      <c r="D24" s="8"/>
      <c r="E24" s="8"/>
      <c r="F24" s="14" t="str">
        <f>IFERROR(__xludf.DUMMYFUNCTION("""COMPUTED_VALUE"""),"Data Class and Shotgun Surgery")</f>
        <v>Data Class and Shotgun Surgery</v>
      </c>
      <c r="G24" s="3" t="s">
        <v>255</v>
      </c>
      <c r="H24" s="3" t="str">
        <f t="shared" si="2"/>
        <v>Data Class and Shotgun Surgery</v>
      </c>
      <c r="I24" s="3" t="str">
        <f t="shared" si="3"/>
        <v/>
      </c>
      <c r="J24" s="3" t="str">
        <f>IFERROR(__xludf.DUMMYFUNCTION("""COMPUTED_VALUE"""),"Data Clump and Interface Segregation Principle Violation")</f>
        <v>Data Clump and Interface Segregation Principle Violation</v>
      </c>
      <c r="K24" s="3" t="str">
        <f>IFERROR(__xludf.DUMMYFUNCTION("""COMPUTED_VALUE"""),"Interface Segregation Principle Violation")</f>
        <v>Interface Segregation Principle Violation</v>
      </c>
      <c r="L24" s="3"/>
      <c r="M24" s="3" t="s">
        <v>124</v>
      </c>
      <c r="N24" s="12" t="str">
        <f t="array" ref="N24">"""" &amp; TEXTJOIN(",", TRUE, IF(ISNUMBER(SEARCH(M24,$F$2:$F999)),SUBSTITUTE(SUBSTITUTE($F$2:$F999,M24,"")," and ",""),"")) &amp; """"</f>
        <v>"Excessive Class Length,Excessive Parameter List,High Method Complexity,High NPath Complexity,Too Many Public Methods"</v>
      </c>
      <c r="O24" s="12">
        <f>IFERROR(__xludf.DUMMYFUNCTION("IF(N24="""",0,SUMPRODUCT(1/COUNTIF(TRANSPOSE(SPLIT(N24, "","")),TRANSPOSE(SPLIT(N24, "","")))))"),5.0)</f>
        <v>5</v>
      </c>
      <c r="P24" s="12">
        <f t="shared" si="4"/>
        <v>1</v>
      </c>
      <c r="Q24" s="12" t="str">
        <f t="array" ref="Q24">"""\cite{" &amp; TEXTJOIN(", ",TRUE,IF(ISNUMBER(SEARCH(M24,$C$2:$C999)),$B$2:$B999,"")) &amp; "}"""</f>
        <v>"\cite{bessghaier2020diffusion}"</v>
      </c>
    </row>
    <row r="25">
      <c r="A25" s="8"/>
      <c r="B25" s="8"/>
      <c r="C25" s="8"/>
      <c r="D25" s="8"/>
      <c r="E25" s="8"/>
      <c r="F25" s="14" t="str">
        <f>IFERROR(__xludf.DUMMYFUNCTION("""COMPUTED_VALUE"""),"Data Clump and External Duplication")</f>
        <v>Data Clump and External Duplication</v>
      </c>
      <c r="G25" s="3" t="s">
        <v>256</v>
      </c>
      <c r="H25" s="3" t="str">
        <f t="shared" si="2"/>
        <v>Data Clump and External Duplication</v>
      </c>
      <c r="I25" s="3" t="str">
        <f t="shared" si="3"/>
        <v/>
      </c>
      <c r="J25" s="3" t="str">
        <f>IFERROR(__xludf.DUMMYFUNCTION("""COMPUTED_VALUE"""),"Data Clump and Internal Duplication")</f>
        <v>Data Clump and Internal Duplication</v>
      </c>
      <c r="K25" s="3" t="str">
        <f>IFERROR(__xludf.DUMMYFUNCTION("""COMPUTED_VALUE"""),"Message Chain")</f>
        <v>Message Chain</v>
      </c>
      <c r="L25" s="3"/>
      <c r="M25" s="8" t="s">
        <v>98</v>
      </c>
      <c r="N25" s="12" t="str">
        <f t="array" ref="N25">"""" &amp; TEXTJOIN(",", TRUE, IF(ISNUMBER(SEARCH(M25,$F$2:$F999)),SUBSTITUTE(SUBSTITUTE($F$2:$F999,M25,"")," and ",""),"")) &amp; """"</f>
        <v>"Blob Operation,Schizophrenic Class,Tradition Breaker,Internal Duplication"</v>
      </c>
      <c r="O25" s="12">
        <f>IFERROR(__xludf.DUMMYFUNCTION("IF(N25="""",0,SUMPRODUCT(1/COUNTIF(TRANSPOSE(SPLIT(N25, "","")),TRANSPOSE(SPLIT(N25, "","")))))"),4.0)</f>
        <v>4</v>
      </c>
      <c r="P25" s="12">
        <f t="shared" si="4"/>
        <v>1</v>
      </c>
      <c r="Q25" s="12" t="str">
        <f t="array" ref="Q25">"""\cite{" &amp; TEXTJOIN(", ",TRUE,IF(ISNUMBER(SEARCH(M25,$C$2:$C999)),$B$2:$B999,"")) &amp; "}"""</f>
        <v>"\cite{yamashita2015inter}"</v>
      </c>
    </row>
    <row r="26">
      <c r="A26" s="8"/>
      <c r="B26" s="8"/>
      <c r="C26" s="8"/>
      <c r="D26" s="8"/>
      <c r="E26" s="8"/>
      <c r="F26" s="14" t="str">
        <f>IFERROR(__xludf.DUMMYFUNCTION("""COMPUTED_VALUE"""),"Data Clump and Feature Envy")</f>
        <v>Data Clump and Feature Envy</v>
      </c>
      <c r="G26" s="3" t="s">
        <v>257</v>
      </c>
      <c r="H26" s="3" t="str">
        <f t="shared" si="2"/>
        <v/>
      </c>
      <c r="I26" s="3" t="str">
        <f t="shared" si="3"/>
        <v>Data Clump and Feature Envy</v>
      </c>
      <c r="J26" s="3" t="str">
        <f>IFERROR(__xludf.DUMMYFUNCTION("""COMPUTED_VALUE"""),"Data Clump and Refused Parent Bequest")</f>
        <v>Data Clump and Refused Parent Bequest</v>
      </c>
      <c r="K26" s="3" t="str">
        <f>IFERROR(__xludf.DUMMYFUNCTION("""COMPUTED_VALUE"""),"Refused Parent Bequest")</f>
        <v>Refused Parent Bequest</v>
      </c>
      <c r="L26" s="8"/>
      <c r="M26" s="3" t="s">
        <v>105</v>
      </c>
      <c r="N26" s="12" t="str">
        <f t="array" ref="N26">"""" &amp; TEXTJOIN(",", TRUE, IF(ISNUMBER(SEARCH(M26,$F$2:$F999)),SUBSTITUTE(SUBSTITUTE($F$2:$F999,M26,"")," and ",""),"")) &amp; """"</f>
        <v>"Excessive Method Length,Too Many Methods,Too Many Public Methods,High Method Complexity"</v>
      </c>
      <c r="O26" s="12">
        <f>IFERROR(__xludf.DUMMYFUNCTION("IF(N26="""",0,SUMPRODUCT(1/COUNTIF(TRANSPOSE(SPLIT(N26, "","")),TRANSPOSE(SPLIT(N26, "","")))))"),4.0)</f>
        <v>4</v>
      </c>
      <c r="P26" s="12">
        <f t="shared" si="4"/>
        <v>1</v>
      </c>
      <c r="Q26" s="12" t="str">
        <f t="array" ref="Q26">"""\cite{" &amp; TEXTJOIN(", ",TRUE,IF(ISNUMBER(SEARCH(M26,$C$2:$C999)),$B$2:$B999,"")) &amp; "}"""</f>
        <v>"\cite{bessghaier2020diffusion}"</v>
      </c>
    </row>
    <row r="27">
      <c r="A27" s="8"/>
      <c r="B27" s="8"/>
      <c r="C27" s="8"/>
      <c r="D27" s="8"/>
      <c r="E27" s="8"/>
      <c r="F27" s="14" t="str">
        <f>IFERROR(__xludf.DUMMYFUNCTION("""COMPUTED_VALUE"""),"Data Clump and God Class")</f>
        <v>Data Clump and God Class</v>
      </c>
      <c r="G27" s="3" t="s">
        <v>258</v>
      </c>
      <c r="H27" s="3" t="str">
        <f t="shared" si="2"/>
        <v/>
      </c>
      <c r="I27" s="3" t="str">
        <f t="shared" si="3"/>
        <v>Data Clump and God Class</v>
      </c>
      <c r="J27" s="3" t="str">
        <f>IFERROR(__xludf.DUMMYFUNCTION("""COMPUTED_VALUE"""),"Data Clump and Shotgun Surgery")</f>
        <v>Data Clump and Shotgun Surgery</v>
      </c>
      <c r="K27" s="3" t="str">
        <f>IFERROR(__xludf.DUMMYFUNCTION("""COMPUTED_VALUE"""),"Dispersed Coupling")</f>
        <v>Dispersed Coupling</v>
      </c>
      <c r="L27" s="3"/>
      <c r="M27" s="3" t="s">
        <v>109</v>
      </c>
      <c r="N27" s="12" t="str">
        <f t="array" ref="N27">"""" &amp; TEXTJOIN(",", TRUE, IF(ISNUMBER(SEARCH(M27,$F$2:$F999)),SUBSTITUTE(SUBSTITUTE($F$2:$F999,M27,"")," and ",""),"")) &amp; """"</f>
        <v>"High Coupling,High NPath Complexity,Too Many Methods,High Method Complexity"</v>
      </c>
      <c r="O27" s="12">
        <f>IFERROR(__xludf.DUMMYFUNCTION("IF(N27="""",0,SUMPRODUCT(1/COUNTIF(TRANSPOSE(SPLIT(N27, "","")),TRANSPOSE(SPLIT(N27, "","")))))"),4.0)</f>
        <v>4</v>
      </c>
      <c r="P27" s="12">
        <f t="shared" si="4"/>
        <v>1</v>
      </c>
      <c r="Q27" s="12" t="str">
        <f t="array" ref="Q27">"""\cite{" &amp; TEXTJOIN(", ",TRUE,IF(ISNUMBER(SEARCH(M27,$C$2:$C999)),$B$2:$B999,"")) &amp; "}"""</f>
        <v>"\cite{bessghaier2020diffusion}"</v>
      </c>
    </row>
    <row r="28">
      <c r="A28" s="8"/>
      <c r="B28" s="8"/>
      <c r="C28" s="8"/>
      <c r="D28" s="8"/>
      <c r="E28" s="8"/>
      <c r="F28" s="14" t="str">
        <f>IFERROR(__xludf.DUMMYFUNCTION("""COMPUTED_VALUE"""),"Data Clump and Interface Segregation Principle Violation")</f>
        <v>Data Clump and Interface Segregation Principle Violation</v>
      </c>
      <c r="G28" s="3" t="s">
        <v>259</v>
      </c>
      <c r="H28" s="3" t="str">
        <f t="shared" si="2"/>
        <v>Data Clump and Interface Segregation Principle Violation</v>
      </c>
      <c r="I28" s="3" t="str">
        <f t="shared" si="3"/>
        <v/>
      </c>
      <c r="J28" s="3" t="str">
        <f>IFERROR(__xludf.DUMMYFUNCTION("""COMPUTED_VALUE"""),"Dispersed Coupling and Feature Envy")</f>
        <v>Dispersed Coupling and Feature Envy</v>
      </c>
      <c r="K28" s="3" t="str">
        <f>IFERROR(__xludf.DUMMYFUNCTION("""COMPUTED_VALUE"""),"Long Method")</f>
        <v>Long Method</v>
      </c>
      <c r="L28" s="3"/>
      <c r="M28" s="3" t="s">
        <v>133</v>
      </c>
      <c r="N28" s="12" t="str">
        <f t="array" ref="N28">"""" &amp; TEXTJOIN(",", TRUE, IF(ISNUMBER(SEARCH(M28,$F$2:$F999)),SUBSTITUTE(SUBSTITUTE($F$2:$F999,M28,"")," and ",""),"")) &amp; """"</f>
        <v>"Anti-Singleton,Complex Class,Long Method,Long Parameter List"</v>
      </c>
      <c r="O28" s="12">
        <f>IFERROR(__xludf.DUMMYFUNCTION("IF(N28="""",0,SUMPRODUCT(1/COUNTIF(TRANSPOSE(SPLIT(N28, "","")),TRANSPOSE(SPLIT(N28, "","")))))"),4.0)</f>
        <v>4</v>
      </c>
      <c r="P28" s="12">
        <f t="shared" si="4"/>
        <v>1</v>
      </c>
      <c r="Q28" s="12" t="str">
        <f t="array" ref="Q28">"""\cite{" &amp; TEXTJOIN(", ",TRUE,IF(ISNUMBER(SEARCH(M28,$C$2:$C999)),$B$2:$B999,"")) &amp; "}"""</f>
        <v>"\cite{muse2020prevalence}"</v>
      </c>
    </row>
    <row r="29">
      <c r="A29" s="8"/>
      <c r="B29" s="8"/>
      <c r="C29" s="8"/>
      <c r="D29" s="8"/>
      <c r="E29" s="8"/>
      <c r="F29" s="14" t="str">
        <f>IFERROR(__xludf.DUMMYFUNCTION("""COMPUTED_VALUE"""),"Data Clump and Internal Duplication")</f>
        <v>Data Clump and Internal Duplication</v>
      </c>
      <c r="G29" s="3" t="s">
        <v>260</v>
      </c>
      <c r="H29" s="3" t="str">
        <f t="shared" si="2"/>
        <v>Data Clump and Internal Duplication</v>
      </c>
      <c r="I29" s="3" t="str">
        <f t="shared" si="3"/>
        <v/>
      </c>
      <c r="J29" s="3" t="str">
        <f>IFERROR(__xludf.DUMMYFUNCTION("""COMPUTED_VALUE"""),"Dispersed Coupling and God Class")</f>
        <v>Dispersed Coupling and God Class</v>
      </c>
      <c r="K29" s="3" t="str">
        <f>IFERROR(__xludf.DUMMYFUNCTION("""COMPUTED_VALUE"""),"Duplicate Code!")</f>
        <v>Duplicate Code!</v>
      </c>
      <c r="L29" s="3"/>
      <c r="M29" s="3" t="s">
        <v>115</v>
      </c>
      <c r="N29" s="12" t="str">
        <f t="array" ref="N29">"""" &amp; TEXTJOIN(",", TRUE, IF(ISNUMBER(SEARCH(M29,$F$2:$F999)),SUBSTITUTE(SUBSTITUTE($F$2:$F999,M29,"")," and ",""),"")) &amp; """"</f>
        <v>"Excessive Parameter List,High Method Complexity,Goto Statement,Too Many Methods"</v>
      </c>
      <c r="O29" s="12">
        <f>IFERROR(__xludf.DUMMYFUNCTION("IF(N29="""",0,SUMPRODUCT(1/COUNTIF(TRANSPOSE(SPLIT(N29, "","")),TRANSPOSE(SPLIT(N29, "","")))))"),4.0)</f>
        <v>4</v>
      </c>
      <c r="P29" s="12">
        <f t="shared" si="4"/>
        <v>1</v>
      </c>
      <c r="Q29" s="12" t="str">
        <f t="array" ref="Q29">"""\cite{" &amp; TEXTJOIN(", ",TRUE,IF(ISNUMBER(SEARCH(M29,$C$2:$C999)),$B$2:$B999,"")) &amp; "}"""</f>
        <v>"\cite{bessghaier2020diffusion}"</v>
      </c>
    </row>
    <row r="30">
      <c r="A30" s="8"/>
      <c r="B30" s="8"/>
      <c r="C30" s="8"/>
      <c r="D30" s="8"/>
      <c r="E30" s="8"/>
      <c r="F30" s="14" t="str">
        <f>IFERROR(__xludf.DUMMYFUNCTION("""COMPUTED_VALUE"""),"Data Clump and Refused Parent Bequest")</f>
        <v>Data Clump and Refused Parent Bequest</v>
      </c>
      <c r="G30" s="3" t="s">
        <v>261</v>
      </c>
      <c r="H30" s="3" t="str">
        <f t="shared" si="2"/>
        <v>Data Clump and Refused Parent Bequest</v>
      </c>
      <c r="I30" s="3" t="str">
        <f t="shared" si="3"/>
        <v/>
      </c>
      <c r="J30" s="3" t="str">
        <f>IFERROR(__xludf.DUMMYFUNCTION("""COMPUTED_VALUE"""),"Dispersed Coupling and Long Method")</f>
        <v>Dispersed Coupling and Long Method</v>
      </c>
      <c r="K30" s="3" t="str">
        <f>IFERROR(__xludf.DUMMYFUNCTION("""COMPUTED_VALUE"""),"Large Class")</f>
        <v>Large Class</v>
      </c>
      <c r="L30" s="3"/>
      <c r="M30" s="3" t="s">
        <v>152</v>
      </c>
      <c r="N30" s="12" t="str">
        <f t="array" ref="N30">"""" &amp; TEXTJOIN(",", TRUE, IF(ISNUMBER(SEARCH(M30,$F$2:$F999)),SUBSTITUTE(SUBSTITUTE($F$2:$F999,M30,"")," and ",""),"")) &amp; """"</f>
        <v>"Assertion Roulette,Eager Test,Mystery Guest,Test Code Duplication"</v>
      </c>
      <c r="O30" s="12">
        <f>IFERROR(__xludf.DUMMYFUNCTION("IF(N30="""",0,SUMPRODUCT(1/COUNTIF(TRANSPOSE(SPLIT(N30, "","")),TRANSPOSE(SPLIT(N30, "","")))))"),4.0)</f>
        <v>4</v>
      </c>
      <c r="P30" s="12">
        <f t="shared" si="4"/>
        <v>1</v>
      </c>
      <c r="Q30" s="12" t="str">
        <f t="array" ref="Q30">"""\cite{" &amp; TEXTJOIN(", ",TRUE,IF(ISNUMBER(SEARCH(M30,$C$2:$C999)),$B$2:$B999,"")) &amp; "}"""</f>
        <v>"\cite{palomba2016diffusion}"</v>
      </c>
    </row>
    <row r="31">
      <c r="A31" s="8"/>
      <c r="B31" s="8"/>
      <c r="C31" s="8"/>
      <c r="D31" s="8"/>
      <c r="E31" s="8"/>
      <c r="F31" s="14" t="str">
        <f>IFERROR(__xludf.DUMMYFUNCTION("""COMPUTED_VALUE"""),"Data Clump and Shotgun Surgery")</f>
        <v>Data Clump and Shotgun Surgery</v>
      </c>
      <c r="G31" s="3" t="s">
        <v>262</v>
      </c>
      <c r="H31" s="3" t="str">
        <f t="shared" si="2"/>
        <v>Data Clump and Shotgun Surgery</v>
      </c>
      <c r="I31" s="3" t="str">
        <f t="shared" si="3"/>
        <v/>
      </c>
      <c r="J31" s="3" t="str">
        <f>IFERROR(__xludf.DUMMYFUNCTION("""COMPUTED_VALUE"""),"Duplicate Code! and Complex Class")</f>
        <v>Duplicate Code! and Complex Class</v>
      </c>
      <c r="K31" s="3" t="str">
        <f>IFERROR(__xludf.DUMMYFUNCTION("""COMPUTED_VALUE"""),"Excessive Class Length")</f>
        <v>Excessive Class Length</v>
      </c>
      <c r="L31" s="3"/>
      <c r="M31" s="3" t="s">
        <v>121</v>
      </c>
      <c r="N31" s="12" t="str">
        <f t="array" ref="N31">"""" &amp; TEXTJOIN(",", TRUE, IF(ISNUMBER(SEARCH(M31,$F$2:$F999)),SUBSTITUTE(SUBSTITUTE($F$2:$F999,M31,"")," and ",""),"")) &amp; """"</f>
        <v>"Internal Duplication,Message Chain,Data Class,External Duplication"</v>
      </c>
      <c r="O31" s="12">
        <f>IFERROR(__xludf.DUMMYFUNCTION("IF(N31="""",0,SUMPRODUCT(1/COUNTIF(TRANSPOSE(SPLIT(N31, "","")),TRANSPOSE(SPLIT(N31, "","")))))"),4.0)</f>
        <v>4</v>
      </c>
      <c r="P31" s="12">
        <f t="shared" si="4"/>
        <v>1</v>
      </c>
      <c r="Q31" s="12" t="str">
        <f t="array" ref="Q31">"""\cite{" &amp; TEXTJOIN(", ",TRUE,IF(ISNUMBER(SEARCH(M31,$C$2:$C999)),$B$2:$B999,"")) &amp; "}"""</f>
        <v>"\cite{yamashita2015inter}"</v>
      </c>
    </row>
    <row r="32">
      <c r="A32" s="8"/>
      <c r="B32" s="8"/>
      <c r="C32" s="8"/>
      <c r="D32" s="8"/>
      <c r="E32" s="8"/>
      <c r="F32" s="14" t="str">
        <f>IFERROR(__xludf.DUMMYFUNCTION("""COMPUTED_VALUE"""),"Dispersed Coupling and Feature Envy")</f>
        <v>Dispersed Coupling and Feature Envy</v>
      </c>
      <c r="G32" s="3" t="s">
        <v>263</v>
      </c>
      <c r="H32" s="3" t="str">
        <f t="shared" si="2"/>
        <v>Dispersed Coupling and Feature Envy</v>
      </c>
      <c r="I32" s="3" t="str">
        <f t="shared" si="3"/>
        <v/>
      </c>
      <c r="J32" s="3" t="str">
        <f>IFERROR(__xludf.DUMMYFUNCTION("""COMPUTED_VALUE"""),"Duplicate Code! and Large Class")</f>
        <v>Duplicate Code! and Large Class</v>
      </c>
      <c r="K32" s="3" t="str">
        <f>IFERROR(__xludf.DUMMYFUNCTION("""COMPUTED_VALUE"""),"Excessive Method Length")</f>
        <v>Excessive Method Length</v>
      </c>
      <c r="L32" s="3"/>
      <c r="M32" s="3" t="s">
        <v>125</v>
      </c>
      <c r="N32" s="12" t="str">
        <f t="array" ref="N32">"""" &amp; TEXTJOIN(",", TRUE, IF(ISNUMBER(SEARCH(M32,$F$2:$F999)),SUBSTITUTE(SUBSTITUTE($F$2:$F999,M32,"")," and ",""),"")) &amp; """"</f>
        <v>"Excessive Class Length,Excessive Method Length,High Method Complexity,Too Many Methods"</v>
      </c>
      <c r="O32" s="12">
        <f>IFERROR(__xludf.DUMMYFUNCTION("IF(N32="""",0,SUMPRODUCT(1/COUNTIF(TRANSPOSE(SPLIT(N32, "","")),TRANSPOSE(SPLIT(N32, "","")))))"),4.0)</f>
        <v>4</v>
      </c>
      <c r="P32" s="12">
        <f t="shared" si="4"/>
        <v>1</v>
      </c>
      <c r="Q32" s="12" t="str">
        <f t="array" ref="Q32">"""\cite{" &amp; TEXTJOIN(", ",TRUE,IF(ISNUMBER(SEARCH(M32,$C$2:$C999)),$B$2:$B999,"")) &amp; "}"""</f>
        <v>"\cite{bessghaier2020diffusion}"</v>
      </c>
    </row>
    <row r="33">
      <c r="A33" s="8"/>
      <c r="B33" s="8"/>
      <c r="C33" s="8"/>
      <c r="D33" s="8"/>
      <c r="E33" s="8"/>
      <c r="F33" s="14" t="str">
        <f>IFERROR(__xludf.DUMMYFUNCTION("""COMPUTED_VALUE"""),"Dispersed Coupling and God Class")</f>
        <v>Dispersed Coupling and God Class</v>
      </c>
      <c r="G33" s="3" t="s">
        <v>264</v>
      </c>
      <c r="H33" s="3" t="str">
        <f t="shared" si="2"/>
        <v>Dispersed Coupling and God Class</v>
      </c>
      <c r="I33" s="3" t="str">
        <f t="shared" si="3"/>
        <v/>
      </c>
      <c r="J33" s="3" t="str">
        <f>IFERROR(__xludf.DUMMYFUNCTION("""COMPUTED_VALUE"""),"Eager Test and Indirect Testing")</f>
        <v>Eager Test and Indirect Testing</v>
      </c>
      <c r="K33" s="3" t="str">
        <f>IFERROR(__xludf.DUMMYFUNCTION("""COMPUTED_VALUE"""),"Too Many Methods")</f>
        <v>Too Many Methods</v>
      </c>
      <c r="L33" s="3"/>
      <c r="M33" s="3" t="s">
        <v>126</v>
      </c>
      <c r="N33" s="12" t="str">
        <f t="array" ref="N33">"""" &amp; TEXTJOIN(",", TRUE, IF(ISNUMBER(SEARCH(M33,$F$2:$F999)),SUBSTITUTE(SUBSTITUTE($F$2:$F999,M33,"")," and ",""),"")) &amp; """"</f>
        <v>"Blob Class,Blob Operation,Internal Duplication,Schizophrenic Class"</v>
      </c>
      <c r="O33" s="12">
        <f>IFERROR(__xludf.DUMMYFUNCTION("IF(N33="""",0,SUMPRODUCT(1/COUNTIF(TRANSPOSE(SPLIT(N33, "","")),TRANSPOSE(SPLIT(N33, "","")))))"),4.0)</f>
        <v>4</v>
      </c>
      <c r="P33" s="12">
        <f t="shared" si="4"/>
        <v>1</v>
      </c>
      <c r="Q33" s="12" t="str">
        <f t="array" ref="Q33">"""\cite{" &amp; TEXTJOIN(", ",TRUE,IF(ISNUMBER(SEARCH(M33,$C$2:$C999)),$B$2:$B999,"")) &amp; "}"""</f>
        <v>"\cite{yamashita2015inter}"</v>
      </c>
    </row>
    <row r="34">
      <c r="A34" s="8"/>
      <c r="B34" s="8"/>
      <c r="C34" s="8"/>
      <c r="D34" s="8"/>
      <c r="E34" s="8"/>
      <c r="F34" s="14" t="str">
        <f>IFERROR(__xludf.DUMMYFUNCTION("""COMPUTED_VALUE"""),"Dispersed Coupling and Long Method")</f>
        <v>Dispersed Coupling and Long Method</v>
      </c>
      <c r="G34" s="3" t="s">
        <v>265</v>
      </c>
      <c r="H34" s="3" t="str">
        <f t="shared" si="2"/>
        <v>Dispersed Coupling and Long Method</v>
      </c>
      <c r="I34" s="3" t="str">
        <f t="shared" si="3"/>
        <v/>
      </c>
      <c r="J34" s="3" t="str">
        <f>IFERROR(__xludf.DUMMYFUNCTION("""COMPUTED_VALUE"""),"Eager Test and Resource Optimism")</f>
        <v>Eager Test and Resource Optimism</v>
      </c>
      <c r="K34" s="3" t="str">
        <f>IFERROR(__xludf.DUMMYFUNCTION("""COMPUTED_VALUE"""),"Too Many Public Methods")</f>
        <v>Too Many Public Methods</v>
      </c>
      <c r="L34" s="3"/>
      <c r="M34" s="3" t="s">
        <v>62</v>
      </c>
      <c r="N34" s="12" t="str">
        <f t="array" ref="N34">"""" &amp; TEXTJOIN(",", TRUE, IF(ISNUMBER(SEARCH(M34,$F$2:$F999)),SUBSTITUTE(SUBSTITUTE($F$2:$F999,M34,"")," and ",""),"")) &amp; """"</f>
        <v>"Blob!,Long Method,Message Chain"</v>
      </c>
      <c r="O34" s="12">
        <f>IFERROR(__xludf.DUMMYFUNCTION("IF(N34="""",0,SUMPRODUCT(1/COUNTIF(TRANSPOSE(SPLIT(N34, "","")),TRANSPOSE(SPLIT(N34, "","")))))"),3.0)</f>
        <v>3</v>
      </c>
      <c r="P34" s="12">
        <f t="shared" si="4"/>
        <v>3</v>
      </c>
      <c r="Q34" s="12" t="str">
        <f t="array" ref="Q34">"""\cite{" &amp; TEXTJOIN(", ",TRUE,IF(ISNUMBER(SEARCH(M34,$C$2:$C999)),$B$2:$B999,"")) &amp; "}"""</f>
        <v>"\cite{abbes2011empirical, palomba2017investigating, palomba2018large}"</v>
      </c>
    </row>
    <row r="35">
      <c r="A35" s="8"/>
      <c r="B35" s="8"/>
      <c r="C35" s="8"/>
      <c r="D35" s="8"/>
      <c r="E35" s="8"/>
      <c r="F35" s="14" t="str">
        <f>IFERROR(__xludf.DUMMYFUNCTION("""COMPUTED_VALUE"""),"Duplicate Code! and Complex Class")</f>
        <v>Duplicate Code! and Complex Class</v>
      </c>
      <c r="G35" s="3" t="s">
        <v>266</v>
      </c>
      <c r="H35" s="3" t="str">
        <f t="shared" si="2"/>
        <v>Duplicate Code! and Complex Class</v>
      </c>
      <c r="I35" s="3" t="str">
        <f t="shared" si="3"/>
        <v/>
      </c>
      <c r="J35" s="3" t="str">
        <f>IFERROR(__xludf.DUMMYFUNCTION("""COMPUTED_VALUE"""),"Excessive Class Length and Excessive Method Length")</f>
        <v>Excessive Class Length and Excessive Method Length</v>
      </c>
      <c r="K35" s="3" t="str">
        <f>IFERROR(__xludf.DUMMYFUNCTION("""COMPUTED_VALUE"""),"Excessive Parameter List")</f>
        <v>Excessive Parameter List</v>
      </c>
      <c r="L35" s="3"/>
      <c r="M35" s="3" t="s">
        <v>90</v>
      </c>
      <c r="N35" s="12" t="str">
        <f t="array" ref="N35">"""" &amp; TEXTJOIN(",", TRUE, IF(ISNUMBER(SEARCH(M35,$F$2:$F999)),SUBSTITUTE(SUBSTITUTE($F$2:$F999,M35,"")," and ",""),"")) &amp; """"</f>
        <v>"Feature Envy,God Class,Long Method"</v>
      </c>
      <c r="O35" s="12">
        <f>IFERROR(__xludf.DUMMYFUNCTION("IF(N35="""",0,SUMPRODUCT(1/COUNTIF(TRANSPOSE(SPLIT(N35, "","")),TRANSPOSE(SPLIT(N35, "","")))))"),3.0)</f>
        <v>3</v>
      </c>
      <c r="P35" s="12">
        <f t="shared" si="4"/>
        <v>2</v>
      </c>
      <c r="Q35" s="12" t="str">
        <f t="array" ref="Q35">"""\cite{" &amp; TEXTJOIN(", ",TRUE,IF(ISNUMBER(SEARCH(M35,$C$2:$C999)),$B$2:$B999,"")) &amp; "}"""</f>
        <v>"\cite{martins2020code, martins2021code}"</v>
      </c>
    </row>
    <row r="36">
      <c r="A36" s="8"/>
      <c r="B36" s="8"/>
      <c r="C36" s="8"/>
      <c r="D36" s="8"/>
      <c r="E36" s="8"/>
      <c r="F36" s="14" t="str">
        <f>IFERROR(__xludf.DUMMYFUNCTION("""COMPUTED_VALUE"""),"Duplicate Code! and Large Class")</f>
        <v>Duplicate Code! and Large Class</v>
      </c>
      <c r="G36" s="3" t="s">
        <v>267</v>
      </c>
      <c r="H36" s="3" t="str">
        <f t="shared" si="2"/>
        <v>Duplicate Code! and Large Class</v>
      </c>
      <c r="I36" s="3" t="str">
        <f t="shared" si="3"/>
        <v/>
      </c>
      <c r="J36" s="3" t="str">
        <f>IFERROR(__xludf.DUMMYFUNCTION("""COMPUTED_VALUE"""),"Excessive Class Length and Too Many Methods")</f>
        <v>Excessive Class Length and Too Many Methods</v>
      </c>
      <c r="K36" s="3" t="str">
        <f>IFERROR(__xludf.DUMMYFUNCTION("""COMPUTED_VALUE"""),"High Coupling")</f>
        <v>High Coupling</v>
      </c>
      <c r="L36" s="3"/>
      <c r="M36" s="3" t="s">
        <v>102</v>
      </c>
      <c r="N36" s="12" t="str">
        <f t="array" ref="N36">"""" &amp; TEXTJOIN(",", TRUE, IF(ISNUMBER(SEARCH(M36,$F$2:$F999)),SUBSTITUTE(SUBSTITUTE($F$2:$F999,M36,"")," and ",""),"")) &amp; """"</f>
        <v>"Feature Envy,God Class,God Method"</v>
      </c>
      <c r="O36" s="12">
        <f>IFERROR(__xludf.DUMMYFUNCTION("IF(N36="""",0,SUMPRODUCT(1/COUNTIF(TRANSPOSE(SPLIT(N36, "","")),TRANSPOSE(SPLIT(N36, "","")))))"),3.0)</f>
        <v>3</v>
      </c>
      <c r="P36" s="12">
        <f t="shared" si="4"/>
        <v>1</v>
      </c>
      <c r="Q36" s="12" t="str">
        <f t="array" ref="Q36">"""\cite{" &amp; TEXTJOIN(", ",TRUE,IF(ISNUMBER(SEARCH(M36,$C$2:$C999)),$B$2:$B999,"")) &amp; "}"""</f>
        <v>"\cite{yamashita2013exploring}"</v>
      </c>
    </row>
    <row r="37">
      <c r="A37" s="8"/>
      <c r="B37" s="8"/>
      <c r="C37" s="8"/>
      <c r="D37" s="8"/>
      <c r="E37" s="8"/>
      <c r="F37" s="14" t="str">
        <f>IFERROR(__xludf.DUMMYFUNCTION("""COMPUTED_VALUE"""),"Eager Test and Indirect Testing")</f>
        <v>Eager Test and Indirect Testing</v>
      </c>
      <c r="G37" s="3" t="s">
        <v>268</v>
      </c>
      <c r="H37" s="3" t="str">
        <f t="shared" si="2"/>
        <v>Eager Test and Indirect Testing</v>
      </c>
      <c r="I37" s="3" t="str">
        <f t="shared" si="3"/>
        <v/>
      </c>
      <c r="J37" s="3" t="str">
        <f>IFERROR(__xludf.DUMMYFUNCTION("""COMPUTED_VALUE"""),"Excessive Class Length and Too Many Public Methods")</f>
        <v>Excessive Class Length and Too Many Public Methods</v>
      </c>
      <c r="K37" s="3" t="str">
        <f>IFERROR(__xludf.DUMMYFUNCTION("""COMPUTED_VALUE"""),"High NPath Complexity")</f>
        <v>High NPath Complexity</v>
      </c>
      <c r="L37" s="3"/>
      <c r="M37" s="3" t="s">
        <v>107</v>
      </c>
      <c r="N37" s="12" t="str">
        <f t="array" ref="N37">"""" &amp; TEXTJOIN(",", TRUE, IF(ISNUMBER(SEARCH(M37,$F$2:$F999)),SUBSTITUTE(SUBSTITUTE($F$2:$F999,M37,"")," and ",""),"")) &amp; """"</f>
        <v>"Excessive Class Length,Too Many Public Methods,High Method Complexity"</v>
      </c>
      <c r="O37" s="12">
        <f>IFERROR(__xludf.DUMMYFUNCTION("IF(N37="""",0,SUMPRODUCT(1/COUNTIF(TRANSPOSE(SPLIT(N37, "","")),TRANSPOSE(SPLIT(N37, "","")))))"),3.0)</f>
        <v>3</v>
      </c>
      <c r="P37" s="12">
        <f t="shared" si="4"/>
        <v>1</v>
      </c>
      <c r="Q37" s="12" t="str">
        <f t="array" ref="Q37">"""\cite{" &amp; TEXTJOIN(", ",TRUE,IF(ISNUMBER(SEARCH(M37,$C$2:$C999)),$B$2:$B999,"")) &amp; "}"""</f>
        <v>"\cite{bessghaier2020diffusion}"</v>
      </c>
    </row>
    <row r="38">
      <c r="A38" s="8"/>
      <c r="B38" s="8"/>
      <c r="C38" s="8"/>
      <c r="D38" s="8"/>
      <c r="E38" s="8"/>
      <c r="F38" s="14" t="str">
        <f>IFERROR(__xludf.DUMMYFUNCTION("""COMPUTED_VALUE"""),"Eager Test and Resource Optimism")</f>
        <v>Eager Test and Resource Optimism</v>
      </c>
      <c r="G38" s="3" t="s">
        <v>269</v>
      </c>
      <c r="H38" s="3" t="str">
        <f t="shared" si="2"/>
        <v>Eager Test and Resource Optimism</v>
      </c>
      <c r="I38" s="3" t="str">
        <f t="shared" si="3"/>
        <v/>
      </c>
      <c r="J38" s="3" t="str">
        <f>IFERROR(__xludf.DUMMYFUNCTION("""COMPUTED_VALUE"""),"Excessive Method Length and Too Many Public Methods")</f>
        <v>Excessive Method Length and Too Many Public Methods</v>
      </c>
      <c r="K38" s="3" t="str">
        <f>IFERROR(__xludf.DUMMYFUNCTION("""COMPUTED_VALUE"""),"Fear of the Unknown")</f>
        <v>Fear of the Unknown</v>
      </c>
      <c r="L38" s="3"/>
      <c r="M38" s="3" t="s">
        <v>134</v>
      </c>
      <c r="N38" s="12" t="str">
        <f t="array" ref="N38">"""" &amp; TEXTJOIN(",", TRUE, IF(ISNUMBER(SEARCH(M38,$F$2:$F999)),SUBSTITUTE(SUBSTITUTE($F$2:$F999,M38,"")," and ",""),"")) &amp; """"</f>
        <v>"Anti-Singleton,Complex Class,Long Parameter List"</v>
      </c>
      <c r="O38" s="12">
        <f>IFERROR(__xludf.DUMMYFUNCTION("IF(N38="""",0,SUMPRODUCT(1/COUNTIF(TRANSPOSE(SPLIT(N38, "","")),TRANSPOSE(SPLIT(N38, "","")))))"),3.0)</f>
        <v>3</v>
      </c>
      <c r="P38" s="12">
        <f t="shared" si="4"/>
        <v>1</v>
      </c>
      <c r="Q38" s="12" t="str">
        <f t="array" ref="Q38">"""\cite{" &amp; TEXTJOIN(", ",TRUE,IF(ISNUMBER(SEARCH(M38,$C$2:$C999)),$B$2:$B999,"")) &amp; "}"""</f>
        <v>"\cite{muse2020prevalence}"</v>
      </c>
    </row>
    <row r="39">
      <c r="A39" s="8"/>
      <c r="B39" s="8"/>
      <c r="C39" s="8"/>
      <c r="D39" s="8"/>
      <c r="E39" s="8"/>
      <c r="F39" s="14" t="str">
        <f>IFERROR(__xludf.DUMMYFUNCTION("""COMPUTED_VALUE"""),"Excessive Class Length and Excessive Method Length")</f>
        <v>Excessive Class Length and Excessive Method Length</v>
      </c>
      <c r="G39" s="3" t="s">
        <v>270</v>
      </c>
      <c r="H39" s="3" t="str">
        <f t="shared" si="2"/>
        <v>Excessive Class Length and Excessive Method Length</v>
      </c>
      <c r="I39" s="3" t="str">
        <f t="shared" si="3"/>
        <v/>
      </c>
      <c r="J39" s="3" t="str">
        <f>IFERROR(__xludf.DUMMYFUNCTION("""COMPUTED_VALUE"""),"Excessive Parameter List and High Coupling")</f>
        <v>Excessive Parameter List and High Coupling</v>
      </c>
      <c r="K39" s="3" t="str">
        <f>IFERROR(__xludf.DUMMYFUNCTION("""COMPUTED_VALUE"""),"Anti-Singleton")</f>
        <v>Anti-Singleton</v>
      </c>
      <c r="L39" s="3"/>
      <c r="M39" s="3" t="s">
        <v>30</v>
      </c>
      <c r="N39" s="12" t="str">
        <f t="array" ref="N39">"""" &amp; TEXTJOIN(",", TRUE, IF(ISNUMBER(SEARCH(M39,$F$2:$F999)),SUBSTITUTE(SUBSTITUTE($F$2:$F999,M39,"")," and ",""),"")) &amp; """"</f>
        <v>"Data Clump,Feature Envy,God Class"</v>
      </c>
      <c r="O39" s="12">
        <f>IFERROR(__xludf.DUMMYFUNCTION("IF(N39="""",0,SUMPRODUCT(1/COUNTIF(TRANSPOSE(SPLIT(N39, "","")),TRANSPOSE(SPLIT(N39, "","")))))"),3.0)</f>
        <v>3</v>
      </c>
      <c r="P39" s="12">
        <f t="shared" si="4"/>
        <v>1</v>
      </c>
      <c r="Q39" s="12" t="str">
        <f t="array" ref="Q39">"""\cite{" &amp; TEXTJOIN(", ",TRUE,IF(ISNUMBER(SEARCH(M39,$C$2:$C999)),$B$2:$B999,"")) &amp; "}"""</f>
        <v>"\cite{yamashita2015inter}"</v>
      </c>
    </row>
    <row r="40">
      <c r="A40" s="8"/>
      <c r="B40" s="8"/>
      <c r="C40" s="8"/>
      <c r="D40" s="8"/>
      <c r="E40" s="8"/>
      <c r="F40" s="14" t="str">
        <f>IFERROR(__xludf.DUMMYFUNCTION("""COMPUTED_VALUE"""),"Excessive Class Length and Too Many Methods")</f>
        <v>Excessive Class Length and Too Many Methods</v>
      </c>
      <c r="G40" s="3" t="s">
        <v>271</v>
      </c>
      <c r="H40" s="3" t="str">
        <f t="shared" si="2"/>
        <v>Excessive Class Length and Too Many Methods</v>
      </c>
      <c r="I40" s="3" t="str">
        <f t="shared" si="3"/>
        <v/>
      </c>
      <c r="J40" s="3" t="str">
        <f>IFERROR(__xludf.DUMMYFUNCTION("""COMPUTED_VALUE"""),"Excessive Parameter List and High NPath Complexity")</f>
        <v>Excessive Parameter List and High NPath Complexity</v>
      </c>
      <c r="K40" s="3" t="str">
        <f>IFERROR(__xludf.DUMMYFUNCTION("""COMPUTED_VALUE"""),"Long Parameter List")</f>
        <v>Long Parameter List</v>
      </c>
      <c r="L40" s="3"/>
      <c r="M40" s="3" t="s">
        <v>154</v>
      </c>
      <c r="N40" s="12" t="str">
        <f t="array" ref="N40">"""" &amp; TEXTJOIN(",", TRUE, IF(ISNUMBER(SEARCH(M40,$F$2:$F999)),SUBSTITUTE(SUBSTITUTE($F$2:$F999,M40,"")," and ",""),"")) &amp; """"</f>
        <v>"Assertion Roulette,Eager Test,Mystery Guest"</v>
      </c>
      <c r="O40" s="12">
        <f>IFERROR(__xludf.DUMMYFUNCTION("IF(N40="""",0,SUMPRODUCT(1/COUNTIF(TRANSPOSE(SPLIT(N40, "","")),TRANSPOSE(SPLIT(N40, "","")))))"),3.0)</f>
        <v>3</v>
      </c>
      <c r="P40" s="12">
        <f t="shared" si="4"/>
        <v>1</v>
      </c>
      <c r="Q40" s="12" t="str">
        <f t="array" ref="Q40">"""\cite{" &amp; TEXTJOIN(", ",TRUE,IF(ISNUMBER(SEARCH(M40,$C$2:$C999)),$B$2:$B999,"")) &amp; "}"""</f>
        <v>"\cite{palomba2016diffusion}"</v>
      </c>
    </row>
    <row r="41">
      <c r="A41" s="8"/>
      <c r="B41" s="8"/>
      <c r="C41" s="8"/>
      <c r="D41" s="8"/>
      <c r="E41" s="8"/>
      <c r="F41" s="8" t="str">
        <f>IFERROR(__xludf.DUMMYFUNCTION("""COMPUTED_VALUE"""),"Excessive Class Length and Too Many Public Methods")</f>
        <v>Excessive Class Length and Too Many Public Methods</v>
      </c>
      <c r="G41" s="3" t="s">
        <v>272</v>
      </c>
      <c r="H41" s="3" t="str">
        <f t="shared" si="2"/>
        <v>Excessive Class Length and Too Many Public Methods</v>
      </c>
      <c r="I41" s="3" t="str">
        <f t="shared" si="3"/>
        <v/>
      </c>
      <c r="J41" s="3" t="str">
        <f>IFERROR(__xludf.DUMMYFUNCTION("""COMPUTED_VALUE"""),"Excessive Parameter List and Too Many Methods")</f>
        <v>Excessive Parameter List and Too Many Methods</v>
      </c>
      <c r="K41" s="3" t="str">
        <f>IFERROR(__xludf.DUMMYFUNCTION("""COMPUTED_VALUE"""),"Duplicate Code in Conditional Branches")</f>
        <v>Duplicate Code in Conditional Branches</v>
      </c>
      <c r="L41" s="3"/>
      <c r="M41" s="3" t="s">
        <v>123</v>
      </c>
      <c r="N41" s="12" t="str">
        <f t="array" ref="N41">"""" &amp; TEXTJOIN(",", TRUE, IF(ISNUMBER(SEARCH(M41,$F$2:$F999)),SUBSTITUTE(SUBSTITUTE($F$2:$F999,M41,"")," and ",""),"")) &amp; """"</f>
        <v>"Feature Envy,God Class,God Method"</v>
      </c>
      <c r="O41" s="12">
        <f>IFERROR(__xludf.DUMMYFUNCTION("IF(N41="""",0,SUMPRODUCT(1/COUNTIF(TRANSPOSE(SPLIT(N41, "","")),TRANSPOSE(SPLIT(N41, "","")))))"),3.0)</f>
        <v>3</v>
      </c>
      <c r="P41" s="12">
        <f t="shared" si="4"/>
        <v>1</v>
      </c>
      <c r="Q41" s="12" t="str">
        <f t="array" ref="Q41">"""\cite{" &amp; TEXTJOIN(", ",TRUE,IF(ISNUMBER(SEARCH(M41,$C$2:$C999)),$B$2:$B999,"")) &amp; "}"""</f>
        <v>"\cite{yamashita2013exploring}"</v>
      </c>
    </row>
    <row r="42">
      <c r="A42" s="8"/>
      <c r="B42" s="8"/>
      <c r="C42" s="8"/>
      <c r="D42" s="8"/>
      <c r="E42" s="8"/>
      <c r="F42" s="14" t="str">
        <f>IFERROR(__xludf.DUMMYFUNCTION("""COMPUTED_VALUE"""),"Excessive Method Length and Too Many Public Methods")</f>
        <v>Excessive Method Length and Too Many Public Methods</v>
      </c>
      <c r="G42" s="3" t="s">
        <v>273</v>
      </c>
      <c r="H42" s="3" t="str">
        <f t="shared" si="2"/>
        <v>Excessive Method Length and Too Many Public Methods</v>
      </c>
      <c r="I42" s="3" t="str">
        <f t="shared" si="3"/>
        <v/>
      </c>
      <c r="J42" s="3" t="str">
        <f>IFERROR(__xludf.DUMMYFUNCTION("""COMPUTED_VALUE"""),"External Duplication and Blob Operation")</f>
        <v>External Duplication and Blob Operation</v>
      </c>
      <c r="K42" s="3" t="str">
        <f>IFERROR(__xludf.DUMMYFUNCTION("""COMPUTED_VALUE"""),"Intensive Coupling")</f>
        <v>Intensive Coupling</v>
      </c>
      <c r="L42" s="3"/>
      <c r="M42" s="3" t="s">
        <v>78</v>
      </c>
      <c r="N42" s="12" t="str">
        <f t="array" ref="N42">"""" &amp; TEXTJOIN(",", TRUE, IF(ISNUMBER(SEARCH(M42,$F$2:$F999)),SUBSTITUTE(SUBSTITUTE($F$2:$F999,M42,"")," and ",""),"")) &amp; """"</f>
        <v>"Spaghetti Code,Message Chain"</v>
      </c>
      <c r="O42" s="12">
        <f>IFERROR(__xludf.DUMMYFUNCTION("IF(N42="""",0,SUMPRODUCT(1/COUNTIF(TRANSPOSE(SPLIT(N42, "","")),TRANSPOSE(SPLIT(N42, "","")))))"),2.0)</f>
        <v>2</v>
      </c>
      <c r="P42" s="12">
        <f t="shared" si="4"/>
        <v>2</v>
      </c>
      <c r="Q42" s="12" t="str">
        <f t="array" ref="Q42">"""\cite{" &amp; TEXTJOIN(", ",TRUE,IF(ISNUMBER(SEARCH(M42,$C$2:$C999)),$B$2:$B999,"")) &amp; "}"""</f>
        <v>"\cite{abbes2011empirical, palomba2018large}"</v>
      </c>
    </row>
    <row r="43">
      <c r="A43" s="8"/>
      <c r="B43" s="8"/>
      <c r="C43" s="8"/>
      <c r="D43" s="8"/>
      <c r="E43" s="8"/>
      <c r="F43" s="14" t="str">
        <f>IFERROR(__xludf.DUMMYFUNCTION("""COMPUTED_VALUE"""),"Excessive Parameter List and High Coupling")</f>
        <v>Excessive Parameter List and High Coupling</v>
      </c>
      <c r="G43" s="3" t="s">
        <v>274</v>
      </c>
      <c r="H43" s="3" t="str">
        <f t="shared" si="2"/>
        <v>Excessive Parameter List and High Coupling</v>
      </c>
      <c r="I43" s="3" t="str">
        <f t="shared" si="3"/>
        <v/>
      </c>
      <c r="J43" s="3" t="str">
        <f>IFERROR(__xludf.DUMMYFUNCTION("""COMPUTED_VALUE"""),"External Duplication and God Class")</f>
        <v>External Duplication and God Class</v>
      </c>
      <c r="K43" s="3" t="str">
        <f>IFERROR(__xludf.DUMMYFUNCTION("""COMPUTED_VALUE"""),"Temporary Variable Used for Several Purposes")</f>
        <v>Temporary Variable Used for Several Purposes</v>
      </c>
      <c r="L43" s="3"/>
      <c r="M43" s="3" t="s">
        <v>92</v>
      </c>
      <c r="N43" s="12" t="str">
        <f t="array" ref="N43">"""" &amp; TEXTJOIN(",", TRUE, IF(ISNUMBER(SEARCH(M43,$F$2:$F999)),SUBSTITUTE(SUBSTITUTE($F$2:$F999,M43,"")," and ",""),"")) &amp; """"</f>
        <v>"Fear of the Unknown,Implicit Columns"</v>
      </c>
      <c r="O43" s="12">
        <f>IFERROR(__xludf.DUMMYFUNCTION("IF(N43="""",0,SUMPRODUCT(1/COUNTIF(TRANSPOSE(SPLIT(N43, "","")),TRANSPOSE(SPLIT(N43, "","")))))"),2.0)</f>
        <v>2</v>
      </c>
      <c r="P43" s="12">
        <f t="shared" si="4"/>
        <v>1</v>
      </c>
      <c r="Q43" s="12" t="str">
        <f t="array" ref="Q43">"""\cite{" &amp; TEXTJOIN(", ",TRUE,IF(ISNUMBER(SEARCH(M43,$C$2:$C999)),$B$2:$B999,"")) &amp; "}"""</f>
        <v>"\cite{muse2020prevalence}"</v>
      </c>
    </row>
    <row r="44">
      <c r="A44" s="8"/>
      <c r="B44" s="8"/>
      <c r="C44" s="8"/>
      <c r="D44" s="8"/>
      <c r="E44" s="8"/>
      <c r="F44" s="14" t="str">
        <f>IFERROR(__xludf.DUMMYFUNCTION("""COMPUTED_VALUE"""),"Excessive Parameter List and High NPath Complexity")</f>
        <v>Excessive Parameter List and High NPath Complexity</v>
      </c>
      <c r="G44" s="3" t="s">
        <v>275</v>
      </c>
      <c r="H44" s="3" t="str">
        <f t="shared" si="2"/>
        <v>Excessive Parameter List and High NPath Complexity</v>
      </c>
      <c r="I44" s="3" t="str">
        <f t="shared" si="3"/>
        <v/>
      </c>
      <c r="J44" s="3" t="str">
        <f>IFERROR(__xludf.DUMMYFUNCTION("""COMPUTED_VALUE"""),"Fear of the Unknown and Anti-Singleton")</f>
        <v>Fear of the Unknown and Anti-Singleton</v>
      </c>
      <c r="K44" s="3" t="str">
        <f>IFERROR(__xludf.DUMMYFUNCTION("""COMPUTED_VALUE"""),"Brain Method")</f>
        <v>Brain Method</v>
      </c>
      <c r="L44" s="3"/>
      <c r="M44" s="3" t="s">
        <v>103</v>
      </c>
      <c r="N44" s="12" t="str">
        <f t="array" ref="N44">"""" &amp; TEXTJOIN(",", TRUE, IF(ISNUMBER(SEARCH(M44,$F$2:$F999)),SUBSTITUTE(SUBSTITUTE($F$2:$F999,M44,"")," and ",""),"")) &amp; """"</f>
        <v>"Complex Class,Large Class"</v>
      </c>
      <c r="O44" s="12">
        <f>IFERROR(__xludf.DUMMYFUNCTION("IF(N44="""""""""""",0,SUMPRODUCT(1/COUNTIF(TRANSPOSE(SPLIT(N44, "","")),TRANSPOSE(SPLIT(N44, "","")))))"),2.0)</f>
        <v>2</v>
      </c>
      <c r="P44" s="12">
        <f t="shared" si="4"/>
        <v>1</v>
      </c>
      <c r="Q44" s="12" t="str">
        <f t="array" ref="Q44">"""\cite{" &amp; TEXTJOIN(", ",TRUE,IF(ISNUMBER(SEARCH(M44,$C$2:$C999)),$B$2:$B999,"")) &amp; "}"""</f>
        <v>"\cite{sobrinho2021interplay}"</v>
      </c>
    </row>
    <row r="45">
      <c r="A45" s="8"/>
      <c r="B45" s="8"/>
      <c r="C45" s="8"/>
      <c r="D45" s="8"/>
      <c r="E45" s="8"/>
      <c r="F45" s="14" t="str">
        <f>IFERROR(__xludf.DUMMYFUNCTION("""COMPUTED_VALUE"""),"Excessive Parameter List and Too Many Methods")</f>
        <v>Excessive Parameter List and Too Many Methods</v>
      </c>
      <c r="G45" s="3" t="s">
        <v>276</v>
      </c>
      <c r="H45" s="3" t="str">
        <f t="shared" si="2"/>
        <v>Excessive Parameter List and Too Many Methods</v>
      </c>
      <c r="I45" s="3" t="str">
        <f t="shared" si="3"/>
        <v/>
      </c>
      <c r="J45" s="3" t="str">
        <f>IFERROR(__xludf.DUMMYFUNCTION("""COMPUTED_VALUE"""),"Fear of the Unknown and Complex Class")</f>
        <v>Fear of the Unknown and Complex Class</v>
      </c>
      <c r="K45" s="3" t="str">
        <f>IFERROR(__xludf.DUMMYFUNCTION("""COMPUTED_VALUE"""),"God Method")</f>
        <v>God Method</v>
      </c>
      <c r="L45" s="3"/>
      <c r="M45" s="3" t="s">
        <v>112</v>
      </c>
      <c r="N45" s="12" t="str">
        <f t="array" ref="N45">"""" &amp; TEXTJOIN(",", TRUE, IF(ISNUMBER(SEARCH(M45,$F$2:$F999)),SUBSTITUTE(SUBSTITUTE($F$2:$F999,M45,"")," and ",""),"")) &amp; """"</f>
        <v>"High Method Complexity,High NPath Complexity"</v>
      </c>
      <c r="O45" s="12">
        <f>IFERROR(__xludf.DUMMYFUNCTION("IF(N45="""",0,SUMPRODUCT(1/COUNTIF(TRANSPOSE(SPLIT(N45, "","")),TRANSPOSE(SPLIT(N45, "","")))))"),2.0)</f>
        <v>2</v>
      </c>
      <c r="P45" s="12">
        <f t="shared" si="4"/>
        <v>1</v>
      </c>
      <c r="Q45" s="12" t="str">
        <f t="array" ref="Q45">"""\cite{" &amp; TEXTJOIN(", ",TRUE,IF(ISNUMBER(SEARCH(M45,$C$2:$C999)),$B$2:$B999,"")) &amp; "}"""</f>
        <v>"\cite{bessghaier2020diffusion}"</v>
      </c>
    </row>
    <row r="46">
      <c r="A46" s="8"/>
      <c r="B46" s="8"/>
      <c r="C46" s="8"/>
      <c r="D46" s="8"/>
      <c r="E46" s="8"/>
      <c r="F46" s="14" t="str">
        <f>IFERROR(__xludf.DUMMYFUNCTION("""COMPUTED_VALUE"""),"External Duplication and Blob Operation")</f>
        <v>External Duplication and Blob Operation</v>
      </c>
      <c r="G46" s="3" t="s">
        <v>277</v>
      </c>
      <c r="H46" s="3" t="str">
        <f t="shared" si="2"/>
        <v>External Duplication and Blob Operation</v>
      </c>
      <c r="I46" s="3" t="str">
        <f t="shared" si="3"/>
        <v/>
      </c>
      <c r="J46" s="3" t="str">
        <f>IFERROR(__xludf.DUMMYFUNCTION("""COMPUTED_VALUE"""),"Fear of the Unknown and Long Method")</f>
        <v>Fear of the Unknown and Long Method</v>
      </c>
      <c r="K46" s="3" t="str">
        <f>IFERROR(__xludf.DUMMYFUNCTION("""COMPUTED_VALUE"""),"High Method Complexity")</f>
        <v>High Method Complexity</v>
      </c>
      <c r="L46" s="3"/>
      <c r="M46" s="3" t="s">
        <v>113</v>
      </c>
      <c r="N46" s="12" t="str">
        <f t="array" ref="N46">"""" &amp; TEXTJOIN(",", TRUE, IF(ISNUMBER(SEARCH(M46,$F$2:$F999)),SUBSTITUTE(SUBSTITUTE($F$2:$F999,M46,"")," and ",""),"")) &amp; """"</f>
        <v>"Excessive Parameter List,High Method Complexity"</v>
      </c>
      <c r="O46" s="12">
        <f>IFERROR(__xludf.DUMMYFUNCTION("IF(N46="""",0,SUMPRODUCT(1/COUNTIF(TRANSPOSE(SPLIT(N46, "","")),TRANSPOSE(SPLIT(N46, "","")))))"),2.0)</f>
        <v>2</v>
      </c>
      <c r="P46" s="12">
        <f t="shared" si="4"/>
        <v>1</v>
      </c>
      <c r="Q46" s="12" t="str">
        <f t="array" ref="Q46">"""\cite{" &amp; TEXTJOIN(", ",TRUE,IF(ISNUMBER(SEARCH(M46,$C$2:$C999)),$B$2:$B999,"")) &amp; "}"""</f>
        <v>"\cite{bessghaier2020diffusion}"</v>
      </c>
    </row>
    <row r="47">
      <c r="A47" s="8"/>
      <c r="B47" s="8"/>
      <c r="C47" s="8"/>
      <c r="D47" s="8"/>
      <c r="E47" s="8"/>
      <c r="F47" s="14" t="str">
        <f>IFERROR(__xludf.DUMMYFUNCTION("""COMPUTED_VALUE"""),"External Duplication and God Class")</f>
        <v>External Duplication and God Class</v>
      </c>
      <c r="G47" s="3" t="s">
        <v>278</v>
      </c>
      <c r="H47" s="3" t="str">
        <f t="shared" si="2"/>
        <v>External Duplication and God Class</v>
      </c>
      <c r="I47" s="3" t="str">
        <f t="shared" si="3"/>
        <v/>
      </c>
      <c r="J47" s="3" t="str">
        <f>IFERROR(__xludf.DUMMYFUNCTION("""COMPUTED_VALUE"""),"Fear of the Unknown and Long Parameter List")</f>
        <v>Fear of the Unknown and Long Parameter List</v>
      </c>
      <c r="K47" s="3" t="str">
        <f>IFERROR(__xludf.DUMMYFUNCTION("""COMPUTED_VALUE"""),"Empty Catch Block")</f>
        <v>Empty Catch Block</v>
      </c>
      <c r="L47" s="3"/>
      <c r="M47" s="3" t="s">
        <v>95</v>
      </c>
      <c r="N47" s="12" t="str">
        <f t="array" ref="N47">"""" &amp; TEXTJOIN(",", TRUE, IF(ISNUMBER(SEARCH(M47,$F$2:$F999)),SUBSTITUTE(SUBSTITUTE($F$2:$F999,M47,"")," and ",""),"")) &amp; """"</f>
        <v>"Duplicate Code!,Complex Class"</v>
      </c>
      <c r="O47" s="12">
        <f>IFERROR(__xludf.DUMMYFUNCTION("IF(N47="""",0,SUMPRODUCT(1/COUNTIF(TRANSPOSE(SPLIT(N47, "","")),TRANSPOSE(SPLIT(N47, "","")))))"),2.0)</f>
        <v>2</v>
      </c>
      <c r="P47" s="12">
        <f t="shared" si="4"/>
        <v>1</v>
      </c>
      <c r="Q47" s="12" t="str">
        <f t="array" ref="Q47">"""\cite{" &amp; TEXTJOIN(", ",TRUE,IF(ISNUMBER(SEARCH(M47,$C$2:$C999)),$B$2:$B999,"")) &amp; "}"""</f>
        <v>"\cite{sobrinho2021interplay}"</v>
      </c>
    </row>
    <row r="48">
      <c r="A48" s="8"/>
      <c r="B48" s="8"/>
      <c r="C48" s="8"/>
      <c r="D48" s="8"/>
      <c r="E48" s="8"/>
      <c r="F48" s="14" t="str">
        <f>IFERROR(__xludf.DUMMYFUNCTION("""COMPUTED_VALUE"""),"Fear of the Unknown and Anti-Singleton")</f>
        <v>Fear of the Unknown and Anti-Singleton</v>
      </c>
      <c r="G48" s="3" t="s">
        <v>279</v>
      </c>
      <c r="H48" s="3" t="str">
        <f t="shared" si="2"/>
        <v>Fear of the Unknown and Anti-Singleton</v>
      </c>
      <c r="I48" s="3" t="str">
        <f t="shared" si="3"/>
        <v/>
      </c>
      <c r="J48" s="3" t="str">
        <f>IFERROR(__xludf.DUMMYFUNCTION("""COMPUTED_VALUE"""),"Feature Envy and Blob Operation")</f>
        <v>Feature Envy and Blob Operation</v>
      </c>
      <c r="K48" s="3" t="str">
        <f>IFERROR(__xludf.DUMMYFUNCTION("""COMPUTED_VALUE"""),"Excessive Number of Children")</f>
        <v>Excessive Number of Children</v>
      </c>
      <c r="L48" s="3"/>
      <c r="M48" s="3" t="s">
        <v>155</v>
      </c>
      <c r="N48" s="12" t="str">
        <f t="array" ref="N48">"""" &amp; TEXTJOIN(",", TRUE, IF(ISNUMBER(SEARCH(M48,$F$2:$F999)),SUBSTITUTE(SUBSTITUTE($F$2:$F999,M48,"")," and ",""),"")) &amp; """"</f>
        <v>"Assertion Roulette,Test Code Duplication"</v>
      </c>
      <c r="O48" s="12">
        <f>IFERROR(__xludf.DUMMYFUNCTION("IF(N48="""",0,SUMPRODUCT(1/COUNTIF(TRANSPOSE(SPLIT(N48, "","")),TRANSPOSE(SPLIT(N48, "","")))))"),2.0)</f>
        <v>2</v>
      </c>
      <c r="P48" s="12">
        <f t="shared" si="4"/>
        <v>1</v>
      </c>
      <c r="Q48" s="12" t="str">
        <f t="array" ref="Q48">"""\cite{" &amp; TEXTJOIN(", ",TRUE,IF(ISNUMBER(SEARCH(M48,$C$2:$C999)),$B$2:$B999,"")) &amp; "}"""</f>
        <v>"\cite{palomba2016diffusion}"</v>
      </c>
    </row>
    <row r="49">
      <c r="F49" s="14" t="str">
        <f>IFERROR(__xludf.DUMMYFUNCTION("""COMPUTED_VALUE"""),"Fear of the Unknown and Complex Class")</f>
        <v>Fear of the Unknown and Complex Class</v>
      </c>
      <c r="G49" s="3" t="s">
        <v>280</v>
      </c>
      <c r="H49" s="3" t="str">
        <f t="shared" si="2"/>
        <v>Fear of the Unknown and Complex Class</v>
      </c>
      <c r="I49" s="3" t="str">
        <f t="shared" si="3"/>
        <v/>
      </c>
      <c r="J49" s="3" t="str">
        <f>IFERROR(__xludf.DUMMYFUNCTION("""COMPUTED_VALUE"""),"Feature Envy and Duplicate Code in Conditional Branches")</f>
        <v>Feature Envy and Duplicate Code in Conditional Branches</v>
      </c>
      <c r="K49" s="3" t="str">
        <f>IFERROR(__xludf.DUMMYFUNCTION("""COMPUTED_VALUE"""),"Goto Statement")</f>
        <v>Goto Statement</v>
      </c>
      <c r="L49" s="3"/>
      <c r="M49" s="3" t="s">
        <v>100</v>
      </c>
      <c r="N49" s="12" t="str">
        <f t="array" ref="N49">"""" &amp; TEXTJOIN(",", TRUE, IF(ISNUMBER(SEARCH(M49,$F$2:$F999)),SUBSTITUTE(SUBSTITUTE($F$2:$F999,M49,"")," and ",""),"")) &amp; """"</f>
        <v>"God Class"</v>
      </c>
      <c r="O49" s="12">
        <f>IFERROR(__xludf.DUMMYFUNCTION("IF(N49="""",0,SUMPRODUCT(1/COUNTIF(TRANSPOSE(SPLIT(N49, "","")),TRANSPOSE(SPLIT(N49, "","")))))"),1.0)</f>
        <v>1</v>
      </c>
      <c r="P49" s="12">
        <f t="shared" si="4"/>
        <v>1</v>
      </c>
      <c r="Q49" s="12" t="str">
        <f t="array" ref="Q49">"""\cite{" &amp; TEXTJOIN(", ",TRUE,IF(ISNUMBER(SEARCH(M49,$C$2:$C999)),$B$2:$B999,"")) &amp; "}"""</f>
        <v>"\cite{fontana2015towards}"</v>
      </c>
    </row>
    <row r="50">
      <c r="F50" s="14" t="str">
        <f>IFERROR(__xludf.DUMMYFUNCTION("""COMPUTED_VALUE"""),"Fear of the Unknown and Long Method")</f>
        <v>Fear of the Unknown and Long Method</v>
      </c>
      <c r="G50" s="3" t="s">
        <v>281</v>
      </c>
      <c r="H50" s="3" t="str">
        <f t="shared" si="2"/>
        <v>Fear of the Unknown and Long Method</v>
      </c>
      <c r="I50" s="3" t="str">
        <f t="shared" si="3"/>
        <v/>
      </c>
      <c r="J50" s="3" t="str">
        <f>IFERROR(__xludf.DUMMYFUNCTION("""COMPUTED_VALUE"""),"Feature Envy and God Class")</f>
        <v>Feature Envy and God Class</v>
      </c>
      <c r="K50" s="3" t="str">
        <f>IFERROR(__xludf.DUMMYFUNCTION("""COMPUTED_VALUE"""),"Implicit Columns")</f>
        <v>Implicit Columns</v>
      </c>
      <c r="L50" s="3"/>
      <c r="M50" s="3" t="s">
        <v>83</v>
      </c>
      <c r="N50" s="12" t="str">
        <f t="array" ref="N50">"""" &amp; TEXTJOIN(",", TRUE, IF(ISNUMBER(SEARCH(M50,$F$2:$F999)),SUBSTITUTE(SUBSTITUTE($F$2:$F999,M50,"")," and ",""),"")) &amp; """"</f>
        <v>"Long Parameter List"</v>
      </c>
      <c r="O50" s="12">
        <f>IFERROR(__xludf.DUMMYFUNCTION("IF(N50="""",0,SUMPRODUCT(1/COUNTIF(TRANSPOSE(SPLIT(N50, "","")),TRANSPOSE(SPLIT(N50, "","")))))"),1.0)</f>
        <v>1</v>
      </c>
      <c r="P50" s="12">
        <f t="shared" si="4"/>
        <v>1</v>
      </c>
      <c r="Q50" s="12" t="str">
        <f t="array" ref="Q50">"""\cite{" &amp; TEXTJOIN(", ",TRUE,IF(ISNUMBER(SEARCH(M50,$C$2:$C999)),$B$2:$B999,"")) &amp; "}"""</f>
        <v>"\cite{ogenrwot2020comparison}"</v>
      </c>
    </row>
    <row r="51">
      <c r="F51" s="14" t="str">
        <f>IFERROR(__xludf.DUMMYFUNCTION("""COMPUTED_VALUE"""),"Fear of the Unknown and Long Parameter List")</f>
        <v>Fear of the Unknown and Long Parameter List</v>
      </c>
      <c r="G51" s="3" t="s">
        <v>282</v>
      </c>
      <c r="H51" s="3" t="str">
        <f t="shared" si="2"/>
        <v>Fear of the Unknown and Long Parameter List</v>
      </c>
      <c r="I51" s="3" t="str">
        <f t="shared" si="3"/>
        <v/>
      </c>
      <c r="J51" s="3" t="str">
        <f>IFERROR(__xludf.DUMMYFUNCTION("""COMPUTED_VALUE"""),"Feature Envy and Intensive Coupling")</f>
        <v>Feature Envy and Intensive Coupling</v>
      </c>
      <c r="K51" s="3" t="str">
        <f>IFERROR(__xludf.DUMMYFUNCTION("""COMPUTED_VALUE"""),"Inappropriate Intimacy")</f>
        <v>Inappropriate Intimacy</v>
      </c>
      <c r="L51" s="3"/>
      <c r="M51" s="3" t="s">
        <v>104</v>
      </c>
      <c r="N51" s="12" t="str">
        <f t="array" ref="N51">"""" &amp; TEXTJOIN(",", TRUE, IF(ISNUMBER(SEARCH(M51,$F$2:$F999)),SUBSTITUTE(SUBSTITUTE($F$2:$F999,M51,"")," and ",""),"")) &amp; """"</f>
        <v>"High Method Complexity"</v>
      </c>
      <c r="O51" s="12">
        <f>IFERROR(__xludf.DUMMYFUNCTION("IF(N51="""",0,SUMPRODUCT(1/COUNTIF(TRANSPOSE(SPLIT(N51, "","")),TRANSPOSE(SPLIT(N51, "","")))))"),1.0)</f>
        <v>1</v>
      </c>
      <c r="P51" s="12">
        <f t="shared" si="4"/>
        <v>1</v>
      </c>
      <c r="Q51" s="12" t="str">
        <f t="array" ref="Q51">"""\cite{" &amp; TEXTJOIN(", ",TRUE,IF(ISNUMBER(SEARCH(M51,$C$2:$C999)),$B$2:$B999,"")) &amp; "}"""</f>
        <v>"\cite{bessghaier2020diffusion}"</v>
      </c>
    </row>
    <row r="52">
      <c r="F52" s="14" t="str">
        <f>IFERROR(__xludf.DUMMYFUNCTION("""COMPUTED_VALUE"""),"Feature Envy and Blob Operation")</f>
        <v>Feature Envy and Blob Operation</v>
      </c>
      <c r="G52" s="3" t="s">
        <v>283</v>
      </c>
      <c r="H52" s="3" t="str">
        <f t="shared" si="2"/>
        <v>Feature Envy and Blob Operation</v>
      </c>
      <c r="I52" s="3" t="str">
        <f t="shared" si="3"/>
        <v/>
      </c>
      <c r="J52" s="3" t="str">
        <f>IFERROR(__xludf.DUMMYFUNCTION("""COMPUTED_VALUE"""),"Feature Envy and Interface Segregation Principle Violation")</f>
        <v>Feature Envy and Interface Segregation Principle Violation</v>
      </c>
      <c r="K52" s="3" t="str">
        <f>IFERROR(__xludf.DUMMYFUNCTION("""COMPUTED_VALUE"""),"Sibling Duplication")</f>
        <v>Sibling Duplication</v>
      </c>
      <c r="L52" s="3"/>
      <c r="M52" s="3" t="s">
        <v>108</v>
      </c>
      <c r="N52" s="12" t="str">
        <f t="array" ref="N52">"""" &amp; TEXTJOIN(",", TRUE, IF(ISNUMBER(SEARCH(M52,$F$2:$F999)),SUBSTITUTE(SUBSTITUTE($F$2:$F999,M52,"")," and ",""),"")) &amp; """"</f>
        <v>"High Method Complexity"</v>
      </c>
      <c r="O52" s="12">
        <f>IFERROR(__xludf.DUMMYFUNCTION("IF(N52="""",0,SUMPRODUCT(1/COUNTIF(TRANSPOSE(SPLIT(N52, "","")),TRANSPOSE(SPLIT(N52, "","")))))"),1.0)</f>
        <v>1</v>
      </c>
      <c r="P52" s="12">
        <f t="shared" si="4"/>
        <v>1</v>
      </c>
      <c r="Q52" s="12" t="str">
        <f t="array" ref="Q52">"""\cite{" &amp; TEXTJOIN(", ",TRUE,IF(ISNUMBER(SEARCH(M52,$C$2:$C999)),$B$2:$B999,"")) &amp; "}"""</f>
        <v>"\cite{bessghaier2020diffusion}"</v>
      </c>
    </row>
    <row r="53">
      <c r="F53" s="14" t="str">
        <f>IFERROR(__xludf.DUMMYFUNCTION("""COMPUTED_VALUE"""),"Feature Envy and Data Class")</f>
        <v>Feature Envy and Data Class</v>
      </c>
      <c r="G53" s="3" t="s">
        <v>284</v>
      </c>
      <c r="H53" s="3" t="str">
        <f t="shared" si="2"/>
        <v/>
      </c>
      <c r="I53" s="3" t="str">
        <f t="shared" si="3"/>
        <v>Feature Envy and Data Class</v>
      </c>
      <c r="J53" s="3" t="str">
        <f>IFERROR(__xludf.DUMMYFUNCTION("""COMPUTED_VALUE"""),"Feature Envy and Internal Duplication")</f>
        <v>Feature Envy and Internal Duplication</v>
      </c>
      <c r="K53" s="3" t="str">
        <f>IFERROR(__xludf.DUMMYFUNCTION("""COMPUTED_VALUE"""),"Leaking Inner Class")</f>
        <v>Leaking Inner Class</v>
      </c>
      <c r="L53" s="8"/>
      <c r="M53" s="3" t="s">
        <v>94</v>
      </c>
      <c r="N53" s="12" t="str">
        <f t="array" ref="N53">"""" &amp; TEXTJOIN(",", TRUE, IF(ISNUMBER(SEARCH(M53,$F$2:$F999)),SUBSTITUTE(SUBSTITUTE($F$2:$F999,M53,"")," and ",""),"")) &amp; """"</f>
        <v>"Feature Envy"</v>
      </c>
      <c r="O53" s="12">
        <f>IFERROR(__xludf.DUMMYFUNCTION("IF(N53="""",0,SUMPRODUCT(1/COUNTIF(TRANSPOSE(SPLIT(N53, "","")),TRANSPOSE(SPLIT(N53, "","")))))"),1.0)</f>
        <v>1</v>
      </c>
      <c r="P53" s="12">
        <f t="shared" si="4"/>
        <v>1</v>
      </c>
      <c r="Q53" s="12" t="str">
        <f t="array" ref="Q53">"""\cite{" &amp; TEXTJOIN(", ",TRUE,IF(ISNUMBER(SEARCH(M53,$C$2:$C999)),$B$2:$B999,"")) &amp; "}"""</f>
        <v>"\cite{palomba2017investigating}"</v>
      </c>
    </row>
    <row r="54">
      <c r="F54" s="14" t="str">
        <f>IFERROR(__xludf.DUMMYFUNCTION("""COMPUTED_VALUE"""),"Feature Envy and Data Clump")</f>
        <v>Feature Envy and Data Clump</v>
      </c>
      <c r="G54" s="3" t="s">
        <v>285</v>
      </c>
      <c r="H54" s="3" t="str">
        <f t="shared" si="2"/>
        <v/>
      </c>
      <c r="I54" s="3" t="str">
        <f t="shared" si="3"/>
        <v>Feature Envy and Data Clump</v>
      </c>
      <c r="J54" s="3" t="str">
        <f>IFERROR(__xludf.DUMMYFUNCTION("""COMPUTED_VALUE"""),"Feature Envy and Message Chain")</f>
        <v>Feature Envy and Message Chain</v>
      </c>
      <c r="K54" s="3" t="str">
        <f>IFERROR(__xludf.DUMMYFUNCTION("""COMPUTED_VALUE"""),"Class Data Should Be Private")</f>
        <v>Class Data Should Be Private</v>
      </c>
      <c r="L54" s="8"/>
      <c r="M54" s="8" t="s">
        <v>139</v>
      </c>
      <c r="N54" s="12" t="str">
        <f t="array" ref="N54">"""" &amp; TEXTJOIN(",", TRUE, IF(ISNUMBER(SEARCH(M54,$F$2:$F999)),SUBSTITUTE(SUBSTITUTE($F$2:$F999,M54,"")," and ",""),"")) &amp; """"</f>
        <v>"Member Ignoring Method"</v>
      </c>
      <c r="O54" s="12">
        <f>IFERROR(__xludf.DUMMYFUNCTION("IF(N54="""",0,SUMPRODUCT(1/COUNTIF(TRANSPOSE(SPLIT(N54, "","")),TRANSPOSE(SPLIT(N54, "","")))))"),1.0)</f>
        <v>1</v>
      </c>
      <c r="P54" s="12">
        <f t="shared" si="4"/>
        <v>1</v>
      </c>
      <c r="Q54" s="12" t="str">
        <f t="array" ref="Q54">"""\cite{" &amp; TEXTJOIN(", ",TRUE,IF(ISNUMBER(SEARCH(M54,$C$2:$C999)),$B$2:$B999,"")) &amp; "}"""</f>
        <v>"\cite{hamdi2021empirical}"</v>
      </c>
    </row>
    <row r="55">
      <c r="F55" s="12" t="str">
        <f>IFERROR(__xludf.DUMMYFUNCTION("""COMPUTED_VALUE"""),"Feature Envy and Duplicate Code in Conditional Branches")</f>
        <v>Feature Envy and Duplicate Code in Conditional Branches</v>
      </c>
      <c r="G55" s="3" t="s">
        <v>286</v>
      </c>
      <c r="H55" s="3" t="str">
        <f t="shared" si="2"/>
        <v>Feature Envy and Duplicate Code in Conditional Branches</v>
      </c>
      <c r="I55" s="3" t="str">
        <f t="shared" si="3"/>
        <v/>
      </c>
      <c r="J55" s="3" t="str">
        <f>IFERROR(__xludf.DUMMYFUNCTION("""COMPUTED_VALUE"""),"Feature Envy and Refused Parent Bequest")</f>
        <v>Feature Envy and Refused Parent Bequest</v>
      </c>
      <c r="K55" s="3" t="str">
        <f>IFERROR(__xludf.DUMMYFUNCTION("""COMPUTED_VALUE"""),"Refused Bequest")</f>
        <v>Refused Bequest</v>
      </c>
      <c r="L55" s="8"/>
      <c r="M55" s="8" t="s">
        <v>142</v>
      </c>
      <c r="N55" s="12" t="str">
        <f t="array" ref="N55">"""" &amp; TEXTJOIN(",", TRUE, IF(ISNUMBER(SEARCH(M55,$F$2:$F999)),SUBSTITUTE(SUBSTITUTE($F$2:$F999,M55,"")," and ",""),"")) &amp; """"</f>
        <v>"Member Ignoring Method"</v>
      </c>
      <c r="O55" s="12">
        <f>IFERROR(__xludf.DUMMYFUNCTION("IF(N55="""",0,SUMPRODUCT(1/COUNTIF(TRANSPOSE(SPLIT(N55, "","")),TRANSPOSE(SPLIT(N55, "","")))))"),1.0)</f>
        <v>1</v>
      </c>
      <c r="P55" s="12">
        <f t="shared" si="4"/>
        <v>1</v>
      </c>
      <c r="Q55" s="12" t="str">
        <f t="array" ref="Q55">"""\cite{" &amp; TEXTJOIN(", ",TRUE,IF(ISNUMBER(SEARCH(M55,$C$2:$C999)),$B$2:$B999,"")) &amp; "}"""</f>
        <v>"\cite{hamdi2021empirical}"</v>
      </c>
    </row>
    <row r="56">
      <c r="F56" s="12" t="str">
        <f>IFERROR(__xludf.DUMMYFUNCTION("""COMPUTED_VALUE"""),"Feature Envy and God Class")</f>
        <v>Feature Envy and God Class</v>
      </c>
      <c r="G56" s="3" t="s">
        <v>287</v>
      </c>
      <c r="H56" s="3" t="str">
        <f t="shared" si="2"/>
        <v>Feature Envy and God Class</v>
      </c>
      <c r="I56" s="3" t="str">
        <f t="shared" si="3"/>
        <v/>
      </c>
      <c r="J56" s="3" t="str">
        <f>IFERROR(__xludf.DUMMYFUNCTION("""COMPUTED_VALUE"""),"Feature Envy and Schizophrenic Class")</f>
        <v>Feature Envy and Schizophrenic Class</v>
      </c>
      <c r="K56" s="3" t="str">
        <f>IFERROR(__xludf.DUMMYFUNCTION("""COMPUTED_VALUE"""),"No Low Memory Resolver")</f>
        <v>No Low Memory Resolver</v>
      </c>
      <c r="L56" s="3"/>
      <c r="M56" s="8" t="s">
        <v>146</v>
      </c>
      <c r="N56" s="12" t="str">
        <f t="array" ref="N56">"""" &amp; TEXTJOIN(",", TRUE, IF(ISNUMBER(SEARCH(M56,$F$2:$F999)),SUBSTITUTE(SUBSTITUTE($F$2:$F999,M56,"")," and ",""),"")) &amp; """"</f>
        <v>"Member Ignoring Method"</v>
      </c>
      <c r="O56" s="12">
        <f>IFERROR(__xludf.DUMMYFUNCTION("IF(N56="""",0,SUMPRODUCT(1/COUNTIF(TRANSPOSE(SPLIT(N56, "","")),TRANSPOSE(SPLIT(N56, "","")))))"),1.0)</f>
        <v>1</v>
      </c>
      <c r="P56" s="12">
        <f t="shared" si="4"/>
        <v>1</v>
      </c>
      <c r="Q56" s="12" t="str">
        <f t="array" ref="Q56">"""\cite{" &amp; TEXTJOIN(", ",TRUE,IF(ISNUMBER(SEARCH(M56,$C$2:$C999)),$B$2:$B999,"")) &amp; "}"""</f>
        <v>"\cite{hamdi2021empirical}"</v>
      </c>
    </row>
    <row r="57">
      <c r="F57" s="12" t="str">
        <f>IFERROR(__xludf.DUMMYFUNCTION("""COMPUTED_VALUE"""),"Feature Envy and Intensive Coupling")</f>
        <v>Feature Envy and Intensive Coupling</v>
      </c>
      <c r="G57" s="3" t="s">
        <v>288</v>
      </c>
      <c r="H57" s="3" t="str">
        <f t="shared" si="2"/>
        <v>Feature Envy and Intensive Coupling</v>
      </c>
      <c r="I57" s="3" t="str">
        <f t="shared" si="3"/>
        <v/>
      </c>
      <c r="J57" s="3" t="str">
        <f>IFERROR(__xludf.DUMMYFUNCTION("""COMPUTED_VALUE"""),"Feature Envy and Shotgun Surgery")</f>
        <v>Feature Envy and Shotgun Surgery</v>
      </c>
      <c r="K57" s="3" t="str">
        <f>IFERROR(__xludf.DUMMYFUNCTION("""COMPUTED_VALUE"""),"Slow Loop")</f>
        <v>Slow Loop</v>
      </c>
      <c r="L57" s="3"/>
      <c r="M57" s="3" t="s">
        <v>73</v>
      </c>
      <c r="N57" s="12" t="str">
        <f t="array" ref="N57">"""" &amp; TEXTJOIN(",", TRUE, IF(ISNUMBER(SEARCH(M57,$F$2:$F999)),SUBSTITUTE(SUBSTITUTE($F$2:$F999,M57,"")," and ",""),"")) &amp; """"</f>
        <v>"Swiss Army Knife"</v>
      </c>
      <c r="O57" s="12">
        <f>IFERROR(__xludf.DUMMYFUNCTION("IF(N57="""",0,SUMPRODUCT(1/COUNTIF(TRANSPOSE(SPLIT(N57, "","")),TRANSPOSE(SPLIT(N57, "","")))))"),1.0)</f>
        <v>1</v>
      </c>
      <c r="P57" s="12">
        <f t="shared" si="4"/>
        <v>1</v>
      </c>
      <c r="Q57" s="12" t="str">
        <f t="array" ref="Q57">"""\cite{" &amp; TEXTJOIN(", ",TRUE,IF(ISNUMBER(SEARCH(M57,$C$2:$C999)),$B$2:$B999,"")) &amp; "}"""</f>
        <v>"\cite{ogenrwot2020comparison}"</v>
      </c>
    </row>
    <row r="58">
      <c r="F58" s="12" t="str">
        <f>IFERROR(__xludf.DUMMYFUNCTION("""COMPUTED_VALUE"""),"Feature Envy and Interface Segregation Principle Violation")</f>
        <v>Feature Envy and Interface Segregation Principle Violation</v>
      </c>
      <c r="G58" s="3" t="s">
        <v>289</v>
      </c>
      <c r="H58" s="3" t="str">
        <f t="shared" si="2"/>
        <v>Feature Envy and Interface Segregation Principle Violation</v>
      </c>
      <c r="I58" s="3" t="str">
        <f t="shared" si="3"/>
        <v/>
      </c>
      <c r="J58" s="3" t="str">
        <f>IFERROR(__xludf.DUMMYFUNCTION("""COMPUTED_VALUE"""),"Feature Envy and Temporary Variable Used for Several Purposes")</f>
        <v>Feature Envy and Temporary Variable Used for Several Purposes</v>
      </c>
      <c r="K58" s="3" t="str">
        <f>IFERROR(__xludf.DUMMYFUNCTION("""COMPUTED_VALUE"""),"Speculative Generality")</f>
        <v>Speculative Generality</v>
      </c>
      <c r="L58" s="3"/>
      <c r="M58" s="3" t="s">
        <v>122</v>
      </c>
      <c r="N58" s="12" t="str">
        <f t="array" ref="N58">"""" &amp; TEXTJOIN(",", TRUE, IF(ISNUMBER(SEARCH(M58,$F$2:$F999)),SUBSTITUTE(SUBSTITUTE($F$2:$F999,M58,"")," and ",""),"")) &amp; """"</f>
        <v>"Speculative Generality"</v>
      </c>
      <c r="O58" s="12">
        <f>IFERROR(__xludf.DUMMYFUNCTION("IF(N58="""",0,SUMPRODUCT(1/COUNTIF(TRANSPOSE(SPLIT(N58, "","")),TRANSPOSE(SPLIT(N58, "","")))))"),1.0)</f>
        <v>1</v>
      </c>
      <c r="P58" s="12">
        <f t="shared" si="4"/>
        <v>1</v>
      </c>
      <c r="Q58" s="12" t="str">
        <f t="array" ref="Q58">"""\cite{" &amp; TEXTJOIN(", ",TRUE,IF(ISNUMBER(SEARCH(M58,$C$2:$C999)),$B$2:$B999,"")) &amp; "}"""</f>
        <v>"\cite{ogenrwot2020comparison}"</v>
      </c>
    </row>
    <row r="59">
      <c r="F59" s="12" t="str">
        <f>IFERROR(__xludf.DUMMYFUNCTION("""COMPUTED_VALUE"""),"Feature Envy and Internal Duplication")</f>
        <v>Feature Envy and Internal Duplication</v>
      </c>
      <c r="G59" s="3" t="s">
        <v>290</v>
      </c>
      <c r="H59" s="3" t="str">
        <f t="shared" si="2"/>
        <v>Feature Envy and Internal Duplication</v>
      </c>
      <c r="I59" s="3" t="str">
        <f t="shared" si="3"/>
        <v/>
      </c>
      <c r="J59" s="3" t="str">
        <f>IFERROR(__xludf.DUMMYFUNCTION("""COMPUTED_VALUE"""),"God Class and Brain Method")</f>
        <v>God Class and Brain Method</v>
      </c>
      <c r="K59" s="3" t="str">
        <f>IFERROR(__xludf.DUMMYFUNCTION("""COMPUTED_VALUE"""),"Swiss Army Knife")</f>
        <v>Swiss Army Knife</v>
      </c>
      <c r="L59" s="3"/>
      <c r="M59" s="3" t="s">
        <v>128</v>
      </c>
      <c r="N59" s="12" t="str">
        <f t="array" ref="N59">"""" &amp; TEXTJOIN(",", TRUE, IF(ISNUMBER(SEARCH(M59,$F$2:$F999)),SUBSTITUTE(SUBSTITUTE($F$2:$F999,M59,"")," and ",""),"")) &amp; """"</f>
        <v>""</v>
      </c>
      <c r="O59" s="12">
        <f>IFERROR(__xludf.DUMMYFUNCTION("IF(N59="""""""""""",0,SUMPRODUCT(1/COUNTIF(TRANSPOSE(SPLIT(N59, "","")),TRANSPOSE(SPLIT(N59, "","")))))"),0.0)</f>
        <v>0</v>
      </c>
      <c r="P59" s="12">
        <f t="shared" si="4"/>
        <v>0</v>
      </c>
      <c r="Q59" s="12" t="str">
        <f t="array" ref="Q59">"""\cite{" &amp; TEXTJOIN(", ",TRUE,IF(ISNUMBER(SEARCH(M59,$C$2:$C999)),$B$2:$B999,"")) &amp; "}"""</f>
        <v>"\cite{}"</v>
      </c>
    </row>
    <row r="60">
      <c r="F60" s="12" t="str">
        <f>IFERROR(__xludf.DUMMYFUNCTION("""COMPUTED_VALUE"""),"Feature Envy and Long Method")</f>
        <v>Feature Envy and Long Method</v>
      </c>
      <c r="G60" s="3" t="s">
        <v>291</v>
      </c>
      <c r="H60" s="3" t="str">
        <f t="shared" si="2"/>
        <v/>
      </c>
      <c r="I60" s="3" t="str">
        <f t="shared" si="3"/>
        <v>Feature Envy and Long Method</v>
      </c>
      <c r="J60" s="3" t="str">
        <f>IFERROR(__xludf.DUMMYFUNCTION("""COMPUTED_VALUE"""),"God Class and Data Class")</f>
        <v>God Class and Data Class</v>
      </c>
      <c r="K60" s="3"/>
      <c r="L60" s="8"/>
      <c r="M60" s="3" t="s">
        <v>97</v>
      </c>
      <c r="N60" s="12" t="str">
        <f t="array" ref="N60">"""" &amp; TEXTJOIN(",", TRUE, IF(ISNUMBER(SEARCH(M60,$F$2:$F999)),SUBSTITUTE(SUBSTITUTE($F$2:$F999,M60,"")," and ",""),"")) &amp; """"</f>
        <v>""</v>
      </c>
      <c r="O60" s="12">
        <f>IFERROR(__xludf.DUMMYFUNCTION("IF(N60="""""""""""",0,SUMPRODUCT(1/COUNTIF(TRANSPOSE(SPLIT(N60, "","")),TRANSPOSE(SPLIT(N60, "","")))))"),0.0)</f>
        <v>0</v>
      </c>
      <c r="P60" s="12">
        <f t="shared" si="4"/>
        <v>0</v>
      </c>
      <c r="Q60" s="12" t="str">
        <f t="array" ref="Q60">"""\cite{" &amp; TEXTJOIN(", ",TRUE,IF(ISNUMBER(SEARCH(M60,$C$2:$C999)),$B$2:$B999,"")) &amp; "}"""</f>
        <v>"\cite{}"</v>
      </c>
    </row>
    <row r="61">
      <c r="F61" s="12" t="str">
        <f>IFERROR(__xludf.DUMMYFUNCTION("""COMPUTED_VALUE"""),"Feature Envy and Message Chain")</f>
        <v>Feature Envy and Message Chain</v>
      </c>
      <c r="G61" s="3" t="s">
        <v>292</v>
      </c>
      <c r="H61" s="3" t="str">
        <f t="shared" si="2"/>
        <v>Feature Envy and Message Chain</v>
      </c>
      <c r="I61" s="3" t="str">
        <f t="shared" si="3"/>
        <v/>
      </c>
      <c r="J61" s="3" t="str">
        <f>IFERROR(__xludf.DUMMYFUNCTION("""COMPUTED_VALUE"""),"God Class and Duplicate Code in Conditional Branches")</f>
        <v>God Class and Duplicate Code in Conditional Branches</v>
      </c>
      <c r="K61" s="3"/>
      <c r="L61" s="8"/>
      <c r="M61" s="8" t="s">
        <v>130</v>
      </c>
      <c r="N61" s="12" t="str">
        <f t="array" ref="N61">"""" &amp; TEXTJOIN(",", TRUE, IF(ISNUMBER(SEARCH(M61,$F$2:$F999)),SUBSTITUTE(SUBSTITUTE($F$2:$F999,M61,"")," and ",""),"")) &amp; """"</f>
        <v>""</v>
      </c>
      <c r="O61" s="12">
        <f>IFERROR(__xludf.DUMMYFUNCTION("IF(N61="""""""""""",0,SUMPRODUCT(1/COUNTIF(TRANSPOSE(SPLIT(N61, "","")),TRANSPOSE(SPLIT(N61, "","")))))"),0.0)</f>
        <v>0</v>
      </c>
      <c r="P61" s="12">
        <f t="shared" si="4"/>
        <v>0</v>
      </c>
      <c r="Q61" s="12" t="str">
        <f t="array" ref="Q61">"""\cite{" &amp; TEXTJOIN(", ",TRUE,IF(ISNUMBER(SEARCH(M61,$C$2:$C999)),$B$2:$B999,"")) &amp; "}"""</f>
        <v>"\cite{}"</v>
      </c>
    </row>
    <row r="62">
      <c r="F62" s="12" t="str">
        <f>IFERROR(__xludf.DUMMYFUNCTION("""COMPUTED_VALUE"""),"Feature Envy and Refused Parent Bequest")</f>
        <v>Feature Envy and Refused Parent Bequest</v>
      </c>
      <c r="G62" s="3" t="s">
        <v>293</v>
      </c>
      <c r="H62" s="3" t="str">
        <f t="shared" si="2"/>
        <v>Feature Envy and Refused Parent Bequest</v>
      </c>
      <c r="I62" s="3" t="str">
        <f t="shared" si="3"/>
        <v/>
      </c>
      <c r="J62" s="3" t="str">
        <f>IFERROR(__xludf.DUMMYFUNCTION("""COMPUTED_VALUE"""),"God Class and Intensive Coupling")</f>
        <v>God Class and Intensive Coupling</v>
      </c>
      <c r="K62" s="3"/>
      <c r="L62" s="3"/>
      <c r="M62" s="8" t="s">
        <v>131</v>
      </c>
      <c r="N62" s="12" t="str">
        <f t="array" ref="N62">"""" &amp; TEXTJOIN(",", TRUE, IF(ISNUMBER(SEARCH(M62,$F$2:$F999)),SUBSTITUTE(SUBSTITUTE($F$2:$F999,M62,"")," and ",""),"")) &amp; """"</f>
        <v>""</v>
      </c>
      <c r="O62" s="12">
        <f>IFERROR(__xludf.DUMMYFUNCTION("IF(N62="""""""""""",0,SUMPRODUCT(1/COUNTIF(TRANSPOSE(SPLIT(N62, "","")),TRANSPOSE(SPLIT(N62, "","")))))"),0.0)</f>
        <v>0</v>
      </c>
      <c r="P62" s="12">
        <f t="shared" si="4"/>
        <v>0</v>
      </c>
      <c r="Q62" s="12" t="str">
        <f t="array" ref="Q62">"""\cite{" &amp; TEXTJOIN(", ",TRUE,IF(ISNUMBER(SEARCH(M62,$C$2:$C999)),$B$2:$B999,"")) &amp; "}"""</f>
        <v>"\cite{}"</v>
      </c>
    </row>
    <row r="63">
      <c r="F63" s="12" t="str">
        <f>IFERROR(__xludf.DUMMYFUNCTION("""COMPUTED_VALUE"""),"Feature Envy and Schizophrenic Class")</f>
        <v>Feature Envy and Schizophrenic Class</v>
      </c>
      <c r="G63" s="3" t="s">
        <v>294</v>
      </c>
      <c r="H63" s="3" t="str">
        <f t="shared" si="2"/>
        <v>Feature Envy and Schizophrenic Class</v>
      </c>
      <c r="I63" s="3" t="str">
        <f t="shared" si="3"/>
        <v/>
      </c>
      <c r="J63" s="3" t="str">
        <f>IFERROR(__xludf.DUMMYFUNCTION("""COMPUTED_VALUE"""),"God Class and Interface Segregation Principle Violation")</f>
        <v>God Class and Interface Segregation Principle Violation</v>
      </c>
      <c r="K63" s="3"/>
      <c r="L63" s="3"/>
      <c r="M63" s="3" t="s">
        <v>101</v>
      </c>
      <c r="N63" s="12" t="str">
        <f t="array" ref="N63">"""" &amp; TEXTJOIN(",", TRUE, IF(ISNUMBER(SEARCH(M63,$F$2:$F999)),SUBSTITUTE(SUBSTITUTE($F$2:$F999,M63,"")," and ",""),"")) &amp; """"</f>
        <v>""</v>
      </c>
      <c r="O63" s="12">
        <f>IFERROR(__xludf.DUMMYFUNCTION("IF(N63="""""""""""",0,SUMPRODUCT(1/COUNTIF(TRANSPOSE(SPLIT(N63, "","")),TRANSPOSE(SPLIT(N63, "","")))))"),0.0)</f>
        <v>0</v>
      </c>
      <c r="P63" s="12">
        <f t="shared" si="4"/>
        <v>0</v>
      </c>
      <c r="Q63" s="12" t="str">
        <f t="array" ref="Q63">"""\cite{" &amp; TEXTJOIN(", ",TRUE,IF(ISNUMBER(SEARCH(M63,$C$2:$C999)),$B$2:$B999,"")) &amp; "}"""</f>
        <v>"\cite{}"</v>
      </c>
    </row>
    <row r="64">
      <c r="F64" s="12" t="str">
        <f>IFERROR(__xludf.DUMMYFUNCTION("""COMPUTED_VALUE"""),"Feature Envy and Shotgun Surgery")</f>
        <v>Feature Envy and Shotgun Surgery</v>
      </c>
      <c r="G64" s="3" t="s">
        <v>295</v>
      </c>
      <c r="H64" s="3" t="str">
        <f t="shared" si="2"/>
        <v>Feature Envy and Shotgun Surgery</v>
      </c>
      <c r="I64" s="3" t="str">
        <f t="shared" si="3"/>
        <v/>
      </c>
      <c r="J64" s="3" t="str">
        <f>IFERROR(__xludf.DUMMYFUNCTION("""COMPUTED_VALUE"""),"God Class and Internal Duplication")</f>
        <v>God Class and Internal Duplication</v>
      </c>
      <c r="K64" s="3"/>
      <c r="L64" s="8"/>
      <c r="M64" s="8" t="s">
        <v>132</v>
      </c>
      <c r="N64" s="12" t="str">
        <f t="array" ref="N64">"""" &amp; TEXTJOIN(",", TRUE, IF(ISNUMBER(SEARCH(M64,$F$2:$F999)),SUBSTITUTE(SUBSTITUTE($F$2:$F999,M64,"")," and ",""),"")) &amp; """"</f>
        <v>""</v>
      </c>
      <c r="O64" s="12">
        <f>IFERROR(__xludf.DUMMYFUNCTION("IF(N64="""""""""""",0,SUMPRODUCT(1/COUNTIF(TRANSPOSE(SPLIT(N64, "","")),TRANSPOSE(SPLIT(N64, "","")))))"),0.0)</f>
        <v>0</v>
      </c>
      <c r="P64" s="12">
        <f t="shared" si="4"/>
        <v>0</v>
      </c>
      <c r="Q64" s="12" t="str">
        <f t="array" ref="Q64">"""\cite{" &amp; TEXTJOIN(", ",TRUE,IF(ISNUMBER(SEARCH(M64,$C$2:$C999)),$B$2:$B999,"")) &amp; "}"""</f>
        <v>"\cite{}"</v>
      </c>
    </row>
    <row r="65">
      <c r="F65" s="12" t="str">
        <f>IFERROR(__xludf.DUMMYFUNCTION("""COMPUTED_VALUE"""),"Feature Envy and Temporary Variable Used for Several Purposes")</f>
        <v>Feature Envy and Temporary Variable Used for Several Purposes</v>
      </c>
      <c r="G65" s="3" t="s">
        <v>296</v>
      </c>
      <c r="H65" s="3" t="str">
        <f t="shared" si="2"/>
        <v>Feature Envy and Temporary Variable Used for Several Purposes</v>
      </c>
      <c r="I65" s="3" t="str">
        <f t="shared" si="3"/>
        <v/>
      </c>
      <c r="J65" s="12" t="str">
        <f>IFERROR(__xludf.DUMMYFUNCTION("""COMPUTED_VALUE"""),"God Class and Long Method")</f>
        <v>God Class and Long Method</v>
      </c>
      <c r="L65" s="3"/>
      <c r="M65" s="3" t="s">
        <v>106</v>
      </c>
      <c r="N65" s="12" t="str">
        <f t="array" ref="N65">"""" &amp; TEXTJOIN(",", TRUE, IF(ISNUMBER(SEARCH(M65,$F$2:$F999)),SUBSTITUTE(SUBSTITUTE($F$2:$F999,M65,"")," and ",""),"")) &amp; """"</f>
        <v>""</v>
      </c>
      <c r="O65" s="12">
        <f>IFERROR(__xludf.DUMMYFUNCTION("IF(N65="""""""""""",0,SUMPRODUCT(1/COUNTIF(TRANSPOSE(SPLIT(N65, "","")),TRANSPOSE(SPLIT(N65, "","")))))"),0.0)</f>
        <v>0</v>
      </c>
      <c r="P65" s="12">
        <f t="shared" si="4"/>
        <v>0</v>
      </c>
      <c r="Q65" s="12" t="str">
        <f t="array" ref="Q65">"""\cite{" &amp; TEXTJOIN(", ",TRUE,IF(ISNUMBER(SEARCH(M65,$C$2:$C999)),$B$2:$B999,"")) &amp; "}"""</f>
        <v>"\cite{}"</v>
      </c>
    </row>
    <row r="66">
      <c r="F66" s="12" t="str">
        <f>IFERROR(__xludf.DUMMYFUNCTION("""COMPUTED_VALUE"""),"God Class and Brain Method")</f>
        <v>God Class and Brain Method</v>
      </c>
      <c r="G66" s="3" t="s">
        <v>297</v>
      </c>
      <c r="H66" s="3" t="str">
        <f t="shared" si="2"/>
        <v>God Class and Brain Method</v>
      </c>
      <c r="I66" s="3" t="str">
        <f t="shared" si="3"/>
        <v/>
      </c>
      <c r="J66" s="12" t="str">
        <f>IFERROR(__xludf.DUMMYFUNCTION("""COMPUTED_VALUE"""),"God Class and Message Chain")</f>
        <v>God Class and Message Chain</v>
      </c>
      <c r="L66" s="3"/>
      <c r="M66" s="3" t="s">
        <v>151</v>
      </c>
      <c r="N66" s="12" t="str">
        <f t="array" ref="N66">"""" &amp; TEXTJOIN(",", TRUE, IF(ISNUMBER(SEARCH(M66,$F$2:$F999)),SUBSTITUTE(SUBSTITUTE($F$2:$F999,M66,"")," and ",""),"")) &amp; """"</f>
        <v>""</v>
      </c>
      <c r="O66" s="12">
        <f>IFERROR(__xludf.DUMMYFUNCTION("IF(N66="""""""""""",0,SUMPRODUCT(1/COUNTIF(TRANSPOSE(SPLIT(N66, "","")),TRANSPOSE(SPLIT(N66, "","")))))"),0.0)</f>
        <v>0</v>
      </c>
      <c r="P66" s="12">
        <f t="shared" si="4"/>
        <v>0</v>
      </c>
      <c r="Q66" s="12" t="str">
        <f t="array" ref="Q66">"""\cite{" &amp; TEXTJOIN(", ",TRUE,IF(ISNUMBER(SEARCH(M66,$C$2:$C999)),$B$2:$B999,"")) &amp; "}"""</f>
        <v>"\cite{}"</v>
      </c>
    </row>
    <row r="67">
      <c r="F67" s="12" t="str">
        <f>IFERROR(__xludf.DUMMYFUNCTION("""COMPUTED_VALUE"""),"God Class and Data Class")</f>
        <v>God Class and Data Class</v>
      </c>
      <c r="G67" s="3" t="s">
        <v>298</v>
      </c>
      <c r="H67" s="3" t="str">
        <f t="shared" si="2"/>
        <v>God Class and Data Class</v>
      </c>
      <c r="I67" s="3" t="str">
        <f t="shared" si="3"/>
        <v/>
      </c>
      <c r="J67" s="12" t="str">
        <f>IFERROR(__xludf.DUMMYFUNCTION("""COMPUTED_VALUE"""),"God Class and Schizophrenic Class")</f>
        <v>God Class and Schizophrenic Class</v>
      </c>
      <c r="L67" s="8"/>
      <c r="M67" s="8" t="s">
        <v>135</v>
      </c>
      <c r="N67" s="12" t="str">
        <f t="array" ref="N67">"""" &amp; TEXTJOIN(",", TRUE, IF(ISNUMBER(SEARCH(M67,$F$2:$F999)),SUBSTITUTE(SUBSTITUTE($F$2:$F999,M67,"")," and ",""),"")) &amp; """"</f>
        <v>""</v>
      </c>
      <c r="O67" s="12">
        <f>IFERROR(__xludf.DUMMYFUNCTION("IF(N67="""""""""""",0,SUMPRODUCT(1/COUNTIF(TRANSPOSE(SPLIT(N67, "","")),TRANSPOSE(SPLIT(N67, "","")))))"),0.0)</f>
        <v>0</v>
      </c>
      <c r="P67" s="12">
        <f t="shared" si="4"/>
        <v>0</v>
      </c>
      <c r="Q67" s="12" t="str">
        <f t="array" ref="Q67">"""\cite{" &amp; TEXTJOIN(", ",TRUE,IF(ISNUMBER(SEARCH(M67,$C$2:$C999)),$B$2:$B999,"")) &amp; "}"""</f>
        <v>"\cite{}"</v>
      </c>
    </row>
    <row r="68">
      <c r="F68" s="12" t="str">
        <f>IFERROR(__xludf.DUMMYFUNCTION("""COMPUTED_VALUE"""),"God Class and Data Clump")</f>
        <v>God Class and Data Clump</v>
      </c>
      <c r="G68" s="3" t="s">
        <v>299</v>
      </c>
      <c r="H68" s="3" t="str">
        <f t="shared" si="2"/>
        <v/>
      </c>
      <c r="I68" s="3" t="str">
        <f t="shared" si="3"/>
        <v>God Class and Data Clump</v>
      </c>
      <c r="J68" s="12" t="str">
        <f>IFERROR(__xludf.DUMMYFUNCTION("""COMPUTED_VALUE"""),"God Class and Shotgun Surgery")</f>
        <v>God Class and Shotgun Surgery</v>
      </c>
      <c r="L68" s="8"/>
      <c r="M68" s="8" t="s">
        <v>136</v>
      </c>
      <c r="N68" s="12" t="str">
        <f t="array" ref="N68">"""" &amp; TEXTJOIN(",", TRUE, IF(ISNUMBER(SEARCH(M68,$F$2:$F999)),SUBSTITUTE(SUBSTITUTE($F$2:$F999,M68,"")," and ",""),"")) &amp; """"</f>
        <v>""</v>
      </c>
      <c r="O68" s="12">
        <f>IFERROR(__xludf.DUMMYFUNCTION("IF(N68="""""""""""",0,SUMPRODUCT(1/COUNTIF(TRANSPOSE(SPLIT(N68, "","")),TRANSPOSE(SPLIT(N68, "","")))))"),0.0)</f>
        <v>0</v>
      </c>
      <c r="P68" s="12">
        <f t="shared" si="4"/>
        <v>0</v>
      </c>
      <c r="Q68" s="12" t="str">
        <f t="array" ref="Q68">"""\cite{" &amp; TEXTJOIN(", ",TRUE,IF(ISNUMBER(SEARCH(M68,$C$2:$C999)),$B$2:$B999,"")) &amp; "}"""</f>
        <v>"\cite{}"</v>
      </c>
    </row>
    <row r="69">
      <c r="F69" s="12" t="str">
        <f>IFERROR(__xludf.DUMMYFUNCTION("""COMPUTED_VALUE"""),"God Class and Duplicate Code in Conditional Branches")</f>
        <v>God Class and Duplicate Code in Conditional Branches</v>
      </c>
      <c r="G69" s="3" t="s">
        <v>300</v>
      </c>
      <c r="H69" s="3" t="str">
        <f t="shared" si="2"/>
        <v>God Class and Duplicate Code in Conditional Branches</v>
      </c>
      <c r="I69" s="3" t="str">
        <f t="shared" si="3"/>
        <v/>
      </c>
      <c r="J69" s="12" t="str">
        <f>IFERROR(__xludf.DUMMYFUNCTION("""COMPUTED_VALUE"""),"God Class and Temporary Variable Used for Several Purposes")</f>
        <v>God Class and Temporary Variable Used for Several Purposes</v>
      </c>
      <c r="L69" s="8"/>
      <c r="M69" s="8" t="s">
        <v>137</v>
      </c>
      <c r="N69" s="12" t="str">
        <f t="array" ref="N69">"""" &amp; TEXTJOIN(",", TRUE, IF(ISNUMBER(SEARCH(M69,$F$2:$F999)),SUBSTITUTE(SUBSTITUTE($F$2:$F999,M69,"")," and ",""),"")) &amp; """"</f>
        <v>""</v>
      </c>
      <c r="O69" s="12">
        <f>IFERROR(__xludf.DUMMYFUNCTION("IF(N69="""""""""""",0,SUMPRODUCT(1/COUNTIF(TRANSPOSE(SPLIT(N69, "","")),TRANSPOSE(SPLIT(N69, "","")))))"),0.0)</f>
        <v>0</v>
      </c>
      <c r="P69" s="12">
        <f t="shared" si="4"/>
        <v>0</v>
      </c>
      <c r="Q69" s="12" t="str">
        <f t="array" ref="Q69">"""\cite{" &amp; TEXTJOIN(", ",TRUE,IF(ISNUMBER(SEARCH(M69,$C$2:$C999)),$B$2:$B999,"")) &amp; "}"""</f>
        <v>"\cite{}"</v>
      </c>
    </row>
    <row r="70">
      <c r="F70" s="12" t="str">
        <f>IFERROR(__xludf.DUMMYFUNCTION("""COMPUTED_VALUE"""),"God Class and Intensive Coupling")</f>
        <v>God Class and Intensive Coupling</v>
      </c>
      <c r="G70" s="3" t="s">
        <v>301</v>
      </c>
      <c r="H70" s="3" t="str">
        <f t="shared" si="2"/>
        <v>God Class and Intensive Coupling</v>
      </c>
      <c r="I70" s="3" t="str">
        <f t="shared" si="3"/>
        <v/>
      </c>
      <c r="J70" s="12" t="str">
        <f>IFERROR(__xludf.DUMMYFUNCTION("""COMPUTED_VALUE"""),"God Method and Data Class")</f>
        <v>God Method and Data Class</v>
      </c>
      <c r="L70" s="8"/>
      <c r="M70" s="8" t="s">
        <v>138</v>
      </c>
      <c r="N70" s="12" t="str">
        <f t="array" ref="N70">"""" &amp; TEXTJOIN(",", TRUE, IF(ISNUMBER(SEARCH(M70,$F$2:$F999)),SUBSTITUTE(SUBSTITUTE($F$2:$F999,M70,"")," and ",""),"")) &amp; """"</f>
        <v>""</v>
      </c>
      <c r="O70" s="12">
        <f>IFERROR(__xludf.DUMMYFUNCTION("IF(N70="""""""""""",0,SUMPRODUCT(1/COUNTIF(TRANSPOSE(SPLIT(N70, "","")),TRANSPOSE(SPLIT(N70, "","")))))"),0.0)</f>
        <v>0</v>
      </c>
      <c r="P70" s="12">
        <f t="shared" si="4"/>
        <v>0</v>
      </c>
      <c r="Q70" s="12" t="str">
        <f t="array" ref="Q70">"""\cite{" &amp; TEXTJOIN(", ",TRUE,IF(ISNUMBER(SEARCH(M70,$C$2:$C999)),$B$2:$B999,"")) &amp; "}"""</f>
        <v>"\cite{}"</v>
      </c>
    </row>
    <row r="71">
      <c r="F71" s="12" t="str">
        <f>IFERROR(__xludf.DUMMYFUNCTION("""COMPUTED_VALUE"""),"God Class and Interface Segregation Principle Violation")</f>
        <v>God Class and Interface Segregation Principle Violation</v>
      </c>
      <c r="G71" s="3" t="s">
        <v>302</v>
      </c>
      <c r="H71" s="3" t="str">
        <f t="shared" si="2"/>
        <v>God Class and Interface Segregation Principle Violation</v>
      </c>
      <c r="I71" s="3" t="str">
        <f t="shared" si="3"/>
        <v/>
      </c>
      <c r="J71" s="12" t="str">
        <f>IFERROR(__xludf.DUMMYFUNCTION("""COMPUTED_VALUE"""),"God Method and Data Clump")</f>
        <v>God Method and Data Clump</v>
      </c>
      <c r="L71" s="3"/>
      <c r="M71" s="3" t="s">
        <v>68</v>
      </c>
      <c r="N71" s="12" t="str">
        <f t="array" ref="N71">"""" &amp; TEXTJOIN(",", TRUE, IF(ISNUMBER(SEARCH(M71,$F$2:$F999)),SUBSTITUTE(SUBSTITUTE($F$2:$F999,M71,"")," and ",""),"")) &amp; """"</f>
        <v>""</v>
      </c>
      <c r="O71" s="12">
        <f>IFERROR(__xludf.DUMMYFUNCTION("IF(N71="""""""""""",0,SUMPRODUCT(1/COUNTIF(TRANSPOSE(SPLIT(N71, "","")),TRANSPOSE(SPLIT(N71, "","")))))"),0.0)</f>
        <v>0</v>
      </c>
      <c r="P71" s="12">
        <f t="shared" si="4"/>
        <v>0</v>
      </c>
      <c r="Q71" s="12" t="str">
        <f t="array" ref="Q71">"""\cite{" &amp; TEXTJOIN(", ",TRUE,IF(ISNUMBER(SEARCH(M71,$C$2:$C999)),$B$2:$B999,"")) &amp; "}"""</f>
        <v>"\cite{}"</v>
      </c>
    </row>
    <row r="72">
      <c r="F72" s="12" t="str">
        <f>IFERROR(__xludf.DUMMYFUNCTION("""COMPUTED_VALUE"""),"God Class and Internal Duplication")</f>
        <v>God Class and Internal Duplication</v>
      </c>
      <c r="G72" s="3" t="s">
        <v>303</v>
      </c>
      <c r="H72" s="3" t="str">
        <f t="shared" si="2"/>
        <v>God Class and Internal Duplication</v>
      </c>
      <c r="I72" s="3" t="str">
        <f t="shared" si="3"/>
        <v/>
      </c>
      <c r="J72" s="12" t="str">
        <f>IFERROR(__xludf.DUMMYFUNCTION("""COMPUTED_VALUE"""),"God Method and Duplicate Code in Conditional Branches")</f>
        <v>God Method and Duplicate Code in Conditional Branches</v>
      </c>
      <c r="L72" s="8"/>
      <c r="M72" s="8" t="s">
        <v>140</v>
      </c>
      <c r="N72" s="12" t="str">
        <f t="array" ref="N72">"""" &amp; TEXTJOIN(",", TRUE, IF(ISNUMBER(SEARCH(M72,$F$2:$F999)),SUBSTITUTE(SUBSTITUTE($F$2:$F999,M72,"")," and ",""),"")) &amp; """"</f>
        <v>""</v>
      </c>
      <c r="O72" s="12">
        <f>IFERROR(__xludf.DUMMYFUNCTION("IF(N72="""""""""""",0,SUMPRODUCT(1/COUNTIF(TRANSPOSE(SPLIT(N72, "","")),TRANSPOSE(SPLIT(N72, "","")))))"),0.0)</f>
        <v>0</v>
      </c>
      <c r="P72" s="12">
        <f t="shared" si="4"/>
        <v>0</v>
      </c>
      <c r="Q72" s="12" t="str">
        <f t="array" ref="Q72">"""\cite{" &amp; TEXTJOIN(", ",TRUE,IF(ISNUMBER(SEARCH(M72,$C$2:$C999)),$B$2:$B999,"")) &amp; "}"""</f>
        <v>"\cite{}"</v>
      </c>
    </row>
    <row r="73">
      <c r="F73" s="12" t="str">
        <f>IFERROR(__xludf.DUMMYFUNCTION("""COMPUTED_VALUE"""),"God Class and Long Method")</f>
        <v>God Class and Long Method</v>
      </c>
      <c r="G73" s="3" t="s">
        <v>304</v>
      </c>
      <c r="H73" s="3" t="str">
        <f t="shared" si="2"/>
        <v>God Class and Long Method</v>
      </c>
      <c r="I73" s="3" t="str">
        <f t="shared" si="3"/>
        <v/>
      </c>
      <c r="J73" s="12" t="str">
        <f>IFERROR(__xludf.DUMMYFUNCTION("""COMPUTED_VALUE"""),"God Method and Interface Segregation Principle Violation")</f>
        <v>God Method and Interface Segregation Principle Violation</v>
      </c>
      <c r="L73" s="3"/>
      <c r="M73" s="3" t="s">
        <v>118</v>
      </c>
      <c r="N73" s="12" t="str">
        <f t="array" ref="N73">"""" &amp; TEXTJOIN(",", TRUE, IF(ISNUMBER(SEARCH(M73,$F$2:$F999)),SUBSTITUTE(SUBSTITUTE($F$2:$F999,M73,"")," and ",""),"")) &amp; """"</f>
        <v>""</v>
      </c>
      <c r="O73" s="12">
        <f>IFERROR(__xludf.DUMMYFUNCTION("IF(N73="""""""""""",0,SUMPRODUCT(1/COUNTIF(TRANSPOSE(SPLIT(N73, "","")),TRANSPOSE(SPLIT(N73, "","")))))"),0.0)</f>
        <v>0</v>
      </c>
      <c r="P73" s="12">
        <f t="shared" si="4"/>
        <v>0</v>
      </c>
      <c r="Q73" s="12" t="str">
        <f t="array" ref="Q73">"""\cite{" &amp; TEXTJOIN(", ",TRUE,IF(ISNUMBER(SEARCH(M73,$C$2:$C999)),$B$2:$B999,"")) &amp; "}"""</f>
        <v>"\cite{}"</v>
      </c>
    </row>
    <row r="74">
      <c r="F74" s="12" t="str">
        <f>IFERROR(__xludf.DUMMYFUNCTION("""COMPUTED_VALUE"""),"God Class and Message Chain")</f>
        <v>God Class and Message Chain</v>
      </c>
      <c r="G74" s="3" t="s">
        <v>305</v>
      </c>
      <c r="H74" s="3" t="str">
        <f t="shared" si="2"/>
        <v>God Class and Message Chain</v>
      </c>
      <c r="I74" s="3" t="str">
        <f t="shared" si="3"/>
        <v/>
      </c>
      <c r="J74" s="12" t="str">
        <f>IFERROR(__xludf.DUMMYFUNCTION("""COMPUTED_VALUE"""),"God Method and Shotgun Surgery")</f>
        <v>God Method and Shotgun Surgery</v>
      </c>
      <c r="L74" s="3"/>
      <c r="M74" s="3" t="s">
        <v>96</v>
      </c>
      <c r="N74" s="12" t="str">
        <f t="array" ref="N74">"""" &amp; TEXTJOIN(",", TRUE, IF(ISNUMBER(SEARCH(M74,$F$2:$F999)),SUBSTITUTE(SUBSTITUTE($F$2:$F999,M74,"")," and ",""),"")) &amp; """"</f>
        <v>""</v>
      </c>
      <c r="O74" s="12">
        <f>IFERROR(__xludf.DUMMYFUNCTION("IF(N74="""""""""""",0,SUMPRODUCT(1/COUNTIF(TRANSPOSE(SPLIT(N74, "","")),TRANSPOSE(SPLIT(N74, "","")))))"),0.0)</f>
        <v>0</v>
      </c>
      <c r="P74" s="12">
        <f t="shared" si="4"/>
        <v>0</v>
      </c>
      <c r="Q74" s="12" t="str">
        <f t="array" ref="Q74">"""\cite{" &amp; TEXTJOIN(", ",TRUE,IF(ISNUMBER(SEARCH(M74,$C$2:$C999)),$B$2:$B999,"")) &amp; "}"""</f>
        <v>"\cite{}"</v>
      </c>
    </row>
    <row r="75">
      <c r="F75" s="12" t="str">
        <f>IFERROR(__xludf.DUMMYFUNCTION("""COMPUTED_VALUE"""),"God Class and Schizophrenic Class")</f>
        <v>God Class and Schizophrenic Class</v>
      </c>
      <c r="G75" s="3" t="s">
        <v>306</v>
      </c>
      <c r="H75" s="3" t="str">
        <f t="shared" si="2"/>
        <v>God Class and Schizophrenic Class</v>
      </c>
      <c r="I75" s="3" t="str">
        <f t="shared" si="3"/>
        <v/>
      </c>
      <c r="J75" s="12" t="str">
        <f>IFERROR(__xludf.DUMMYFUNCTION("""COMPUTED_VALUE"""),"God Method and Temporary Variable Used for Several Purposes")</f>
        <v>God Method and Temporary Variable Used for Several Purposes</v>
      </c>
      <c r="L75" s="3"/>
      <c r="M75" s="3" t="s">
        <v>119</v>
      </c>
      <c r="N75" s="12" t="str">
        <f t="array" ref="N75">"""" &amp; TEXTJOIN(",", TRUE, IF(ISNUMBER(SEARCH(M75,$F$2:$F999)),SUBSTITUTE(SUBSTITUTE($F$2:$F999,M75,"")," and ",""),"")) &amp; """"</f>
        <v>""</v>
      </c>
      <c r="O75" s="12">
        <f>IFERROR(__xludf.DUMMYFUNCTION("IF(N75="""""""""""",0,SUMPRODUCT(1/COUNTIF(TRANSPOSE(SPLIT(N75, "","")),TRANSPOSE(SPLIT(N75, "","")))))"),0.0)</f>
        <v>0</v>
      </c>
      <c r="P75" s="12">
        <f t="shared" si="4"/>
        <v>0</v>
      </c>
      <c r="Q75" s="12" t="str">
        <f t="array" ref="Q75">"""\cite{" &amp; TEXTJOIN(", ",TRUE,IF(ISNUMBER(SEARCH(M75,$C$2:$C999)),$B$2:$B999,"")) &amp; "}"""</f>
        <v>"\cite{}"</v>
      </c>
    </row>
    <row r="76">
      <c r="F76" s="12" t="str">
        <f>IFERROR(__xludf.DUMMYFUNCTION("""COMPUTED_VALUE"""),"God Class and Shotgun Surgery")</f>
        <v>God Class and Shotgun Surgery</v>
      </c>
      <c r="G76" s="3" t="s">
        <v>307</v>
      </c>
      <c r="H76" s="3" t="str">
        <f t="shared" si="2"/>
        <v>God Class and Shotgun Surgery</v>
      </c>
      <c r="I76" s="3" t="str">
        <f t="shared" si="3"/>
        <v/>
      </c>
      <c r="J76" s="12" t="str">
        <f>IFERROR(__xludf.DUMMYFUNCTION("""COMPUTED_VALUE"""),"High Method Complexity and Empty Catch Block")</f>
        <v>High Method Complexity and Empty Catch Block</v>
      </c>
      <c r="L76" s="8"/>
      <c r="M76" s="8" t="s">
        <v>143</v>
      </c>
      <c r="N76" s="12" t="str">
        <f t="array" ref="N76">"""" &amp; TEXTJOIN(",", TRUE, IF(ISNUMBER(SEARCH(M76,$F$2:$F999)),SUBSTITUTE(SUBSTITUTE($F$2:$F999,M76,"")," and ",""),"")) &amp; """"</f>
        <v>""</v>
      </c>
      <c r="O76" s="12">
        <f>IFERROR(__xludf.DUMMYFUNCTION("IF(N76="""""""""""",0,SUMPRODUCT(1/COUNTIF(TRANSPOSE(SPLIT(N76, "","")),TRANSPOSE(SPLIT(N76, "","")))))"),0.0)</f>
        <v>0</v>
      </c>
      <c r="P76" s="12">
        <f t="shared" si="4"/>
        <v>0</v>
      </c>
      <c r="Q76" s="12" t="str">
        <f t="array" ref="Q76">"""\cite{" &amp; TEXTJOIN(", ",TRUE,IF(ISNUMBER(SEARCH(M76,$C$2:$C999)),$B$2:$B999,"")) &amp; "}"""</f>
        <v>"\cite{}"</v>
      </c>
    </row>
    <row r="77">
      <c r="F77" s="12" t="str">
        <f>IFERROR(__xludf.DUMMYFUNCTION("""COMPUTED_VALUE"""),"God Class and Temporary Variable Used for Several Purposes")</f>
        <v>God Class and Temporary Variable Used for Several Purposes</v>
      </c>
      <c r="G77" s="3" t="s">
        <v>308</v>
      </c>
      <c r="H77" s="3" t="str">
        <f t="shared" si="2"/>
        <v>God Class and Temporary Variable Used for Several Purposes</v>
      </c>
      <c r="I77" s="3" t="str">
        <f t="shared" si="3"/>
        <v/>
      </c>
      <c r="J77" s="12" t="str">
        <f>IFERROR(__xludf.DUMMYFUNCTION("""COMPUTED_VALUE"""),"High Method Complexity and Excessive Class Length")</f>
        <v>High Method Complexity and Excessive Class Length</v>
      </c>
      <c r="L77" s="3"/>
      <c r="M77" s="3" t="s">
        <v>144</v>
      </c>
      <c r="N77" s="12" t="str">
        <f t="array" ref="N77">"""" &amp; TEXTJOIN(",", TRUE, IF(ISNUMBER(SEARCH(M77,$F$2:$F999)),SUBSTITUTE(SUBSTITUTE($F$2:$F999,M77,"")," and ",""),"")) &amp; """"</f>
        <v>""</v>
      </c>
      <c r="O77" s="12">
        <f>IFERROR(__xludf.DUMMYFUNCTION("IF(N77="""""""""""",0,SUMPRODUCT(1/COUNTIF(TRANSPOSE(SPLIT(N77, "","")),TRANSPOSE(SPLIT(N77, "","")))))"),0.0)</f>
        <v>0</v>
      </c>
      <c r="P77" s="12">
        <f t="shared" si="4"/>
        <v>0</v>
      </c>
      <c r="Q77" s="12" t="str">
        <f t="array" ref="Q77">"""\cite{" &amp; TEXTJOIN(", ",TRUE,IF(ISNUMBER(SEARCH(M77,$C$2:$C999)),$B$2:$B999,"")) &amp; "}"""</f>
        <v>"\cite{}"</v>
      </c>
    </row>
    <row r="78">
      <c r="F78" s="12" t="str">
        <f>IFERROR(__xludf.DUMMYFUNCTION("""COMPUTED_VALUE"""),"God Method and Data Class")</f>
        <v>God Method and Data Class</v>
      </c>
      <c r="G78" s="3" t="s">
        <v>309</v>
      </c>
      <c r="H78" s="3" t="str">
        <f t="shared" si="2"/>
        <v>God Method and Data Class</v>
      </c>
      <c r="I78" s="3" t="str">
        <f t="shared" si="3"/>
        <v/>
      </c>
      <c r="J78" s="12" t="str">
        <f>IFERROR(__xludf.DUMMYFUNCTION("""COMPUTED_VALUE"""),"High Method Complexity and Excessive Method Length")</f>
        <v>High Method Complexity and Excessive Method Length</v>
      </c>
      <c r="L78" s="8"/>
      <c r="M78" s="8" t="s">
        <v>145</v>
      </c>
      <c r="N78" s="12" t="str">
        <f t="array" ref="N78">"""" &amp; TEXTJOIN(",", TRUE, IF(ISNUMBER(SEARCH(M78,$F$2:$F999)),SUBSTITUTE(SUBSTITUTE($F$2:$F999,M78,"")," and ",""),"")) &amp; """"</f>
        <v>""</v>
      </c>
      <c r="O78" s="12">
        <f>IFERROR(__xludf.DUMMYFUNCTION("IF(N78="""""""""""",0,SUMPRODUCT(1/COUNTIF(TRANSPOSE(SPLIT(N78, "","")),TRANSPOSE(SPLIT(N78, "","")))))"),0.0)</f>
        <v>0</v>
      </c>
      <c r="P78" s="12">
        <f t="shared" si="4"/>
        <v>0</v>
      </c>
      <c r="Q78" s="12" t="str">
        <f t="array" ref="Q78">"""\cite{" &amp; TEXTJOIN(", ",TRUE,IF(ISNUMBER(SEARCH(M78,$C$2:$C999)),$B$2:$B999,"")) &amp; "}"""</f>
        <v>"\cite{}"</v>
      </c>
    </row>
    <row r="79">
      <c r="F79" s="12" t="str">
        <f>IFERROR(__xludf.DUMMYFUNCTION("""COMPUTED_VALUE"""),"God Method and Data Clump")</f>
        <v>God Method and Data Clump</v>
      </c>
      <c r="G79" s="3" t="s">
        <v>310</v>
      </c>
      <c r="H79" s="3" t="str">
        <f t="shared" si="2"/>
        <v>God Method and Data Clump</v>
      </c>
      <c r="I79" s="3" t="str">
        <f t="shared" si="3"/>
        <v/>
      </c>
      <c r="J79" s="12" t="str">
        <f>IFERROR(__xludf.DUMMYFUNCTION("""COMPUTED_VALUE"""),"High Method Complexity and Excessive Number of Children")</f>
        <v>High Method Complexity and Excessive Number of Children</v>
      </c>
      <c r="L79" s="8"/>
      <c r="M79" s="8" t="s">
        <v>147</v>
      </c>
      <c r="N79" s="12" t="str">
        <f t="array" ref="N79">"""" &amp; TEXTJOIN(",", TRUE, IF(ISNUMBER(SEARCH(M79,$F$2:$F999)),SUBSTITUTE(SUBSTITUTE($F$2:$F999,M79,"")," and ",""),"")) &amp; """"</f>
        <v>""</v>
      </c>
      <c r="O79" s="12">
        <f>IFERROR(__xludf.DUMMYFUNCTION("IF(N79="""""""""""",0,SUMPRODUCT(1/COUNTIF(TRANSPOSE(SPLIT(N79, "","")),TRANSPOSE(SPLIT(N79, "","")))))"),0.0)</f>
        <v>0</v>
      </c>
      <c r="P79" s="12">
        <f t="shared" si="4"/>
        <v>0</v>
      </c>
      <c r="Q79" s="12" t="str">
        <f t="array" ref="Q79">"""\cite{" &amp; TEXTJOIN(", ",TRUE,IF(ISNUMBER(SEARCH(M79,$C$2:$C999)),$B$2:$B999,"")) &amp; "}"""</f>
        <v>"\cite{}"</v>
      </c>
    </row>
    <row r="80">
      <c r="F80" s="12" t="str">
        <f>IFERROR(__xludf.DUMMYFUNCTION("""COMPUTED_VALUE"""),"God Method and Duplicate Code in Conditional Branches")</f>
        <v>God Method and Duplicate Code in Conditional Branches</v>
      </c>
      <c r="G80" s="3" t="s">
        <v>311</v>
      </c>
      <c r="H80" s="3" t="str">
        <f t="shared" si="2"/>
        <v>God Method and Duplicate Code in Conditional Branches</v>
      </c>
      <c r="I80" s="3" t="str">
        <f t="shared" si="3"/>
        <v/>
      </c>
      <c r="J80" s="12" t="str">
        <f>IFERROR(__xludf.DUMMYFUNCTION("""COMPUTED_VALUE"""),"High Method Complexity and Excessive Parameter List")</f>
        <v>High Method Complexity and Excessive Parameter List</v>
      </c>
      <c r="L80" s="3"/>
      <c r="M80" s="3" t="s">
        <v>127</v>
      </c>
      <c r="N80" s="12" t="str">
        <f t="array" ref="N80">"""" &amp; TEXTJOIN(",", TRUE, IF(ISNUMBER(SEARCH(M80,$F$2:$F999)),SUBSTITUTE(SUBSTITUTE($F$2:$F999,M80,"")," and ",""),"")) &amp; """"</f>
        <v>""</v>
      </c>
      <c r="O80" s="12">
        <f>IFERROR(__xludf.DUMMYFUNCTION("IF(N80="""""""""""",0,SUMPRODUCT(1/COUNTIF(TRANSPOSE(SPLIT(N80, "","")),TRANSPOSE(SPLIT(N80, "","")))))"),0.0)</f>
        <v>0</v>
      </c>
      <c r="P80" s="12">
        <f t="shared" si="4"/>
        <v>0</v>
      </c>
      <c r="Q80" s="12" t="str">
        <f t="array" ref="Q80">"""\cite{" &amp; TEXTJOIN(", ",TRUE,IF(ISNUMBER(SEARCH(M80,$C$2:$C999)),$B$2:$B999,"")) &amp; "}"""</f>
        <v>"\cite{}"</v>
      </c>
    </row>
    <row r="81">
      <c r="F81" s="12" t="str">
        <f>IFERROR(__xludf.DUMMYFUNCTION("""COMPUTED_VALUE"""),"God Method and Interface Segregation Principle Violation")</f>
        <v>God Method and Interface Segregation Principle Violation</v>
      </c>
      <c r="G81" s="3" t="s">
        <v>312</v>
      </c>
      <c r="H81" s="3" t="str">
        <f t="shared" si="2"/>
        <v>God Method and Interface Segregation Principle Violation</v>
      </c>
      <c r="I81" s="3" t="str">
        <f t="shared" si="3"/>
        <v/>
      </c>
      <c r="J81" s="12" t="str">
        <f>IFERROR(__xludf.DUMMYFUNCTION("""COMPUTED_VALUE"""),"High Method Complexity and Goto Statement")</f>
        <v>High Method Complexity and Goto Statement</v>
      </c>
    </row>
    <row r="82">
      <c r="F82" s="12" t="str">
        <f>IFERROR(__xludf.DUMMYFUNCTION("""COMPUTED_VALUE"""),"God Method and Shotgun Surgery")</f>
        <v>God Method and Shotgun Surgery</v>
      </c>
      <c r="G82" s="3" t="s">
        <v>313</v>
      </c>
      <c r="H82" s="3" t="str">
        <f t="shared" si="2"/>
        <v>God Method and Shotgun Surgery</v>
      </c>
      <c r="I82" s="3" t="str">
        <f t="shared" si="3"/>
        <v/>
      </c>
      <c r="J82" s="12" t="str">
        <f>IFERROR(__xludf.DUMMYFUNCTION("""COMPUTED_VALUE"""),"High Method Complexity and High Coupling")</f>
        <v>High Method Complexity and High Coupling</v>
      </c>
    </row>
    <row r="83">
      <c r="F83" s="12" t="str">
        <f>IFERROR(__xludf.DUMMYFUNCTION("""COMPUTED_VALUE"""),"God Method and Temporary Variable Used for Several Purposes")</f>
        <v>God Method and Temporary Variable Used for Several Purposes</v>
      </c>
      <c r="G83" s="3" t="s">
        <v>314</v>
      </c>
      <c r="H83" s="3" t="str">
        <f t="shared" si="2"/>
        <v>God Method and Temporary Variable Used for Several Purposes</v>
      </c>
      <c r="I83" s="3" t="str">
        <f t="shared" si="3"/>
        <v/>
      </c>
      <c r="J83" s="12" t="str">
        <f>IFERROR(__xludf.DUMMYFUNCTION("""COMPUTED_VALUE"""),"High Method Complexity and High NPath Complexity")</f>
        <v>High Method Complexity and High NPath Complexity</v>
      </c>
    </row>
    <row r="84">
      <c r="F84" s="12" t="str">
        <f>IFERROR(__xludf.DUMMYFUNCTION("""COMPUTED_VALUE"""),"High Method Complexity and Empty Catch Block")</f>
        <v>High Method Complexity and Empty Catch Block</v>
      </c>
      <c r="G84" s="3" t="s">
        <v>315</v>
      </c>
      <c r="H84" s="3" t="str">
        <f t="shared" si="2"/>
        <v>High Method Complexity and Empty Catch Block</v>
      </c>
      <c r="I84" s="3" t="str">
        <f t="shared" si="3"/>
        <v/>
      </c>
      <c r="J84" s="12" t="str">
        <f>IFERROR(__xludf.DUMMYFUNCTION("""COMPUTED_VALUE"""),"High Method Complexity and Too Many Methods")</f>
        <v>High Method Complexity and Too Many Methods</v>
      </c>
    </row>
    <row r="85">
      <c r="F85" s="12" t="str">
        <f>IFERROR(__xludf.DUMMYFUNCTION("""COMPUTED_VALUE"""),"High Method Complexity and Excessive Class Length")</f>
        <v>High Method Complexity and Excessive Class Length</v>
      </c>
      <c r="G85" s="3" t="s">
        <v>316</v>
      </c>
      <c r="H85" s="3" t="str">
        <f t="shared" si="2"/>
        <v>High Method Complexity and Excessive Class Length</v>
      </c>
      <c r="I85" s="3" t="str">
        <f t="shared" si="3"/>
        <v/>
      </c>
      <c r="J85" s="12" t="str">
        <f>IFERROR(__xludf.DUMMYFUNCTION("""COMPUTED_VALUE"""),"High Method Complexity and Too Many Public Methods")</f>
        <v>High Method Complexity and Too Many Public Methods</v>
      </c>
    </row>
    <row r="86">
      <c r="F86" s="12" t="str">
        <f>IFERROR(__xludf.DUMMYFUNCTION("""COMPUTED_VALUE"""),"High Method Complexity and Excessive Method Length")</f>
        <v>High Method Complexity and Excessive Method Length</v>
      </c>
      <c r="G86" s="3" t="s">
        <v>317</v>
      </c>
      <c r="H86" s="3" t="str">
        <f t="shared" si="2"/>
        <v>High Method Complexity and Excessive Method Length</v>
      </c>
      <c r="I86" s="3" t="str">
        <f t="shared" si="3"/>
        <v/>
      </c>
      <c r="J86" s="12" t="str">
        <f>IFERROR(__xludf.DUMMYFUNCTION("""COMPUTED_VALUE"""),"High NPath Complexity and Goto Statement")</f>
        <v>High NPath Complexity and Goto Statement</v>
      </c>
    </row>
    <row r="87">
      <c r="F87" s="12" t="str">
        <f>IFERROR(__xludf.DUMMYFUNCTION("""COMPUTED_VALUE"""),"High Method Complexity and Excessive Number of Children")</f>
        <v>High Method Complexity and Excessive Number of Children</v>
      </c>
      <c r="G87" s="3" t="s">
        <v>318</v>
      </c>
      <c r="H87" s="3" t="str">
        <f t="shared" si="2"/>
        <v>High Method Complexity and Excessive Number of Children</v>
      </c>
      <c r="I87" s="3" t="str">
        <f t="shared" si="3"/>
        <v/>
      </c>
      <c r="J87" s="12" t="str">
        <f>IFERROR(__xludf.DUMMYFUNCTION("""COMPUTED_VALUE"""),"High NPath Complexity and Too Many Methods")</f>
        <v>High NPath Complexity and Too Many Methods</v>
      </c>
    </row>
    <row r="88">
      <c r="F88" s="12" t="str">
        <f>IFERROR(__xludf.DUMMYFUNCTION("""COMPUTED_VALUE"""),"High Method Complexity and Excessive Parameter List")</f>
        <v>High Method Complexity and Excessive Parameter List</v>
      </c>
      <c r="G88" s="3" t="s">
        <v>319</v>
      </c>
      <c r="H88" s="3" t="str">
        <f t="shared" si="2"/>
        <v>High Method Complexity and Excessive Parameter List</v>
      </c>
      <c r="I88" s="3" t="str">
        <f t="shared" si="3"/>
        <v/>
      </c>
      <c r="J88" s="12" t="str">
        <f>IFERROR(__xludf.DUMMYFUNCTION("""COMPUTED_VALUE"""),"Implicit Columns and Anti-Singleton")</f>
        <v>Implicit Columns and Anti-Singleton</v>
      </c>
    </row>
    <row r="89">
      <c r="F89" s="12" t="str">
        <f>IFERROR(__xludf.DUMMYFUNCTION("""COMPUTED_VALUE"""),"High Method Complexity and Goto Statement")</f>
        <v>High Method Complexity and Goto Statement</v>
      </c>
      <c r="G89" s="3" t="s">
        <v>320</v>
      </c>
      <c r="H89" s="3" t="str">
        <f t="shared" si="2"/>
        <v>High Method Complexity and Goto Statement</v>
      </c>
      <c r="I89" s="3" t="str">
        <f t="shared" si="3"/>
        <v/>
      </c>
      <c r="J89" s="12" t="str">
        <f>IFERROR(__xludf.DUMMYFUNCTION("""COMPUTED_VALUE"""),"Implicit Columns and Complex Class")</f>
        <v>Implicit Columns and Complex Class</v>
      </c>
    </row>
    <row r="90">
      <c r="F90" s="12" t="str">
        <f>IFERROR(__xludf.DUMMYFUNCTION("""COMPUTED_VALUE"""),"High Method Complexity and High Coupling")</f>
        <v>High Method Complexity and High Coupling</v>
      </c>
      <c r="G90" s="3" t="s">
        <v>321</v>
      </c>
      <c r="H90" s="3" t="str">
        <f t="shared" si="2"/>
        <v>High Method Complexity and High Coupling</v>
      </c>
      <c r="I90" s="3" t="str">
        <f t="shared" si="3"/>
        <v/>
      </c>
      <c r="J90" s="12" t="str">
        <f>IFERROR(__xludf.DUMMYFUNCTION("""COMPUTED_VALUE"""),"Implicit Columns and Long Parameter List")</f>
        <v>Implicit Columns and Long Parameter List</v>
      </c>
    </row>
    <row r="91">
      <c r="F91" s="12" t="str">
        <f>IFERROR(__xludf.DUMMYFUNCTION("""COMPUTED_VALUE"""),"High Method Complexity and High NPath Complexity")</f>
        <v>High Method Complexity and High NPath Complexity</v>
      </c>
      <c r="G91" s="3" t="s">
        <v>322</v>
      </c>
      <c r="H91" s="3" t="str">
        <f t="shared" si="2"/>
        <v>High Method Complexity and High NPath Complexity</v>
      </c>
      <c r="I91" s="3" t="str">
        <f t="shared" si="3"/>
        <v/>
      </c>
      <c r="J91" s="12" t="str">
        <f>IFERROR(__xludf.DUMMYFUNCTION("""COMPUTED_VALUE"""),"Inappropriate Intimacy and Feature Envy")</f>
        <v>Inappropriate Intimacy and Feature Envy</v>
      </c>
    </row>
    <row r="92">
      <c r="F92" s="12" t="str">
        <f>IFERROR(__xludf.DUMMYFUNCTION("""COMPUTED_VALUE"""),"High Method Complexity and Too Many Methods")</f>
        <v>High Method Complexity and Too Many Methods</v>
      </c>
      <c r="G92" s="3" t="s">
        <v>323</v>
      </c>
      <c r="H92" s="3" t="str">
        <f t="shared" si="2"/>
        <v>High Method Complexity and Too Many Methods</v>
      </c>
      <c r="I92" s="3" t="str">
        <f t="shared" si="3"/>
        <v/>
      </c>
      <c r="J92" s="12" t="str">
        <f>IFERROR(__xludf.DUMMYFUNCTION("""COMPUTED_VALUE"""),"Intensive Coupling and Blob Operation")</f>
        <v>Intensive Coupling and Blob Operation</v>
      </c>
    </row>
    <row r="93">
      <c r="F93" s="12" t="str">
        <f>IFERROR(__xludf.DUMMYFUNCTION("""COMPUTED_VALUE"""),"High Method Complexity and Too Many Public Methods")</f>
        <v>High Method Complexity and Too Many Public Methods</v>
      </c>
      <c r="G93" s="3" t="s">
        <v>324</v>
      </c>
      <c r="H93" s="3" t="str">
        <f t="shared" si="2"/>
        <v>High Method Complexity and Too Many Public Methods</v>
      </c>
      <c r="I93" s="3" t="str">
        <f t="shared" si="3"/>
        <v/>
      </c>
      <c r="J93" s="12" t="str">
        <f>IFERROR(__xludf.DUMMYFUNCTION("""COMPUTED_VALUE"""),"Intensive Coupling and Data Clump")</f>
        <v>Intensive Coupling and Data Clump</v>
      </c>
    </row>
    <row r="94">
      <c r="F94" s="12" t="str">
        <f>IFERROR(__xludf.DUMMYFUNCTION("""COMPUTED_VALUE"""),"High NPath Complexity and Goto Statement")</f>
        <v>High NPath Complexity and Goto Statement</v>
      </c>
      <c r="G94" s="3" t="s">
        <v>325</v>
      </c>
      <c r="H94" s="3" t="str">
        <f t="shared" si="2"/>
        <v>High NPath Complexity and Goto Statement</v>
      </c>
      <c r="I94" s="3" t="str">
        <f t="shared" si="3"/>
        <v/>
      </c>
      <c r="J94" s="12" t="str">
        <f>IFERROR(__xludf.DUMMYFUNCTION("""COMPUTED_VALUE"""),"Intensive Coupling and Long Method")</f>
        <v>Intensive Coupling and Long Method</v>
      </c>
    </row>
    <row r="95">
      <c r="F95" s="12" t="str">
        <f>IFERROR(__xludf.DUMMYFUNCTION("""COMPUTED_VALUE"""),"High NPath Complexity and Too Many Methods")</f>
        <v>High NPath Complexity and Too Many Methods</v>
      </c>
      <c r="G95" s="3" t="s">
        <v>326</v>
      </c>
      <c r="H95" s="3" t="str">
        <f t="shared" si="2"/>
        <v>High NPath Complexity and Too Many Methods</v>
      </c>
      <c r="I95" s="3" t="str">
        <f t="shared" si="3"/>
        <v/>
      </c>
      <c r="J95" s="12" t="str">
        <f>IFERROR(__xludf.DUMMYFUNCTION("""COMPUTED_VALUE"""),"Internal Duplication and Blob Class")</f>
        <v>Internal Duplication and Blob Class</v>
      </c>
    </row>
    <row r="96">
      <c r="F96" s="12" t="str">
        <f>IFERROR(__xludf.DUMMYFUNCTION("""COMPUTED_VALUE"""),"Implicit Columns and Anti-Singleton")</f>
        <v>Implicit Columns and Anti-Singleton</v>
      </c>
      <c r="G96" s="3" t="s">
        <v>327</v>
      </c>
      <c r="H96" s="3" t="str">
        <f t="shared" si="2"/>
        <v>Implicit Columns and Anti-Singleton</v>
      </c>
      <c r="I96" s="3" t="str">
        <f t="shared" si="3"/>
        <v/>
      </c>
      <c r="J96" s="12" t="str">
        <f>IFERROR(__xludf.DUMMYFUNCTION("""COMPUTED_VALUE"""),"Internal Duplication and Data Class")</f>
        <v>Internal Duplication and Data Class</v>
      </c>
    </row>
    <row r="97">
      <c r="F97" s="12" t="str">
        <f>IFERROR(__xludf.DUMMYFUNCTION("""COMPUTED_VALUE"""),"Implicit Columns and Complex Class")</f>
        <v>Implicit Columns and Complex Class</v>
      </c>
      <c r="G97" s="3" t="s">
        <v>328</v>
      </c>
      <c r="H97" s="3" t="str">
        <f t="shared" si="2"/>
        <v>Implicit Columns and Complex Class</v>
      </c>
      <c r="I97" s="3" t="str">
        <f t="shared" si="3"/>
        <v/>
      </c>
      <c r="J97" s="12" t="str">
        <f>IFERROR(__xludf.DUMMYFUNCTION("""COMPUTED_VALUE"""),"Internal Duplication and External Duplication")</f>
        <v>Internal Duplication and External Duplication</v>
      </c>
    </row>
    <row r="98">
      <c r="F98" s="12" t="str">
        <f>IFERROR(__xludf.DUMMYFUNCTION("""COMPUTED_VALUE"""),"Implicit Columns and Long Parameter List")</f>
        <v>Implicit Columns and Long Parameter List</v>
      </c>
      <c r="G98" s="3" t="s">
        <v>329</v>
      </c>
      <c r="H98" s="3" t="str">
        <f t="shared" si="2"/>
        <v>Implicit Columns and Long Parameter List</v>
      </c>
      <c r="I98" s="3" t="str">
        <f t="shared" si="3"/>
        <v/>
      </c>
      <c r="J98" s="12" t="str">
        <f>IFERROR(__xludf.DUMMYFUNCTION("""COMPUTED_VALUE"""),"Internal Duplication and Intensive Coupling")</f>
        <v>Internal Duplication and Intensive Coupling</v>
      </c>
    </row>
    <row r="99">
      <c r="F99" s="12" t="str">
        <f>IFERROR(__xludf.DUMMYFUNCTION("""COMPUTED_VALUE"""),"Inappropriate Intimacy and Feature Envy")</f>
        <v>Inappropriate Intimacy and Feature Envy</v>
      </c>
      <c r="G99" s="3" t="s">
        <v>330</v>
      </c>
      <c r="H99" s="3" t="str">
        <f t="shared" si="2"/>
        <v>Inappropriate Intimacy and Feature Envy</v>
      </c>
      <c r="I99" s="3" t="str">
        <f t="shared" si="3"/>
        <v/>
      </c>
      <c r="J99" s="12" t="str">
        <f>IFERROR(__xludf.DUMMYFUNCTION("""COMPUTED_VALUE"""),"Internal Duplication and Schizophrenic Class")</f>
        <v>Internal Duplication and Schizophrenic Class</v>
      </c>
    </row>
    <row r="100">
      <c r="F100" s="12" t="str">
        <f>IFERROR(__xludf.DUMMYFUNCTION("""COMPUTED_VALUE"""),"Intensive Coupling and Blob Operation")</f>
        <v>Intensive Coupling and Blob Operation</v>
      </c>
      <c r="G100" s="3" t="s">
        <v>331</v>
      </c>
      <c r="H100" s="3" t="str">
        <f t="shared" si="2"/>
        <v>Intensive Coupling and Blob Operation</v>
      </c>
      <c r="I100" s="3" t="str">
        <f t="shared" si="3"/>
        <v/>
      </c>
      <c r="J100" s="12" t="str">
        <f>IFERROR(__xludf.DUMMYFUNCTION("""COMPUTED_VALUE"""),"Internal Duplication and Sibling Duplication")</f>
        <v>Internal Duplication and Sibling Duplication</v>
      </c>
    </row>
    <row r="101">
      <c r="F101" s="12" t="str">
        <f>IFERROR(__xludf.DUMMYFUNCTION("""COMPUTED_VALUE"""),"Intensive Coupling and Data Clump")</f>
        <v>Intensive Coupling and Data Clump</v>
      </c>
      <c r="G101" s="3" t="s">
        <v>332</v>
      </c>
      <c r="H101" s="3" t="str">
        <f t="shared" si="2"/>
        <v>Intensive Coupling and Data Clump</v>
      </c>
      <c r="I101" s="3" t="str">
        <f t="shared" si="3"/>
        <v/>
      </c>
      <c r="J101" s="12" t="str">
        <f>IFERROR(__xludf.DUMMYFUNCTION("""COMPUTED_VALUE"""),"Large Class and Complex Class")</f>
        <v>Large Class and Complex Class</v>
      </c>
    </row>
    <row r="102">
      <c r="F102" s="12" t="str">
        <f>IFERROR(__xludf.DUMMYFUNCTION("""COMPUTED_VALUE"""),"Intensive Coupling and Long Method")</f>
        <v>Intensive Coupling and Long Method</v>
      </c>
      <c r="G102" s="3" t="s">
        <v>333</v>
      </c>
      <c r="H102" s="3" t="str">
        <f t="shared" si="2"/>
        <v>Intensive Coupling and Long Method</v>
      </c>
      <c r="I102" s="3" t="str">
        <f t="shared" si="3"/>
        <v/>
      </c>
      <c r="J102" s="12" t="str">
        <f>IFERROR(__xludf.DUMMYFUNCTION("""COMPUTED_VALUE"""),"Leaking Inner Class and Member Ignoring Method")</f>
        <v>Leaking Inner Class and Member Ignoring Method</v>
      </c>
    </row>
    <row r="103">
      <c r="F103" s="12" t="str">
        <f>IFERROR(__xludf.DUMMYFUNCTION("""COMPUTED_VALUE"""),"Internal Duplication and Blob Class")</f>
        <v>Internal Duplication and Blob Class</v>
      </c>
      <c r="G103" s="3" t="s">
        <v>334</v>
      </c>
      <c r="H103" s="3" t="str">
        <f t="shared" si="2"/>
        <v>Internal Duplication and Blob Class</v>
      </c>
      <c r="I103" s="3" t="str">
        <f t="shared" si="3"/>
        <v/>
      </c>
      <c r="J103" s="12" t="str">
        <f>IFERROR(__xludf.DUMMYFUNCTION("""COMPUTED_VALUE"""),"Long Method and Long Parameter List")</f>
        <v>Long Method and Long Parameter List</v>
      </c>
    </row>
    <row r="104">
      <c r="F104" s="12" t="str">
        <f>IFERROR(__xludf.DUMMYFUNCTION("""COMPUTED_VALUE"""),"Internal Duplication and Data Class")</f>
        <v>Internal Duplication and Data Class</v>
      </c>
      <c r="G104" s="3" t="s">
        <v>335</v>
      </c>
      <c r="H104" s="3" t="str">
        <f t="shared" si="2"/>
        <v>Internal Duplication and Data Class</v>
      </c>
      <c r="I104" s="3" t="str">
        <f t="shared" si="3"/>
        <v/>
      </c>
      <c r="J104" s="12" t="str">
        <f>IFERROR(__xludf.DUMMYFUNCTION("""COMPUTED_VALUE"""),"Long Method and Member Ignoring Method")</f>
        <v>Long Method and Member Ignoring Method</v>
      </c>
    </row>
    <row r="105">
      <c r="F105" s="12" t="str">
        <f>IFERROR(__xludf.DUMMYFUNCTION("""COMPUTED_VALUE"""),"Internal Duplication and External Duplication")</f>
        <v>Internal Duplication and External Duplication</v>
      </c>
      <c r="G105" s="3" t="s">
        <v>336</v>
      </c>
      <c r="H105" s="3" t="str">
        <f t="shared" si="2"/>
        <v>Internal Duplication and External Duplication</v>
      </c>
      <c r="I105" s="3" t="str">
        <f t="shared" si="3"/>
        <v/>
      </c>
      <c r="J105" s="12" t="str">
        <f>IFERROR(__xludf.DUMMYFUNCTION("""COMPUTED_VALUE"""),"Long Method and Spaghetti Code")</f>
        <v>Long Method and Spaghetti Code</v>
      </c>
    </row>
    <row r="106">
      <c r="F106" s="12" t="str">
        <f>IFERROR(__xludf.DUMMYFUNCTION("""COMPUTED_VALUE"""),"Internal Duplication and Intensive Coupling")</f>
        <v>Internal Duplication and Intensive Coupling</v>
      </c>
      <c r="G106" s="3" t="s">
        <v>337</v>
      </c>
      <c r="H106" s="3" t="str">
        <f t="shared" si="2"/>
        <v>Internal Duplication and Intensive Coupling</v>
      </c>
      <c r="I106" s="3" t="str">
        <f t="shared" si="3"/>
        <v/>
      </c>
      <c r="J106" s="12" t="str">
        <f>IFERROR(__xludf.DUMMYFUNCTION("""COMPUTED_VALUE"""),"Long Parameter List and Class Data Should Be Private")</f>
        <v>Long Parameter List and Class Data Should Be Private</v>
      </c>
    </row>
    <row r="107">
      <c r="F107" s="12" t="str">
        <f>IFERROR(__xludf.DUMMYFUNCTION("""COMPUTED_VALUE"""),"Internal Duplication and Schizophrenic Class")</f>
        <v>Internal Duplication and Schizophrenic Class</v>
      </c>
      <c r="G107" s="3" t="s">
        <v>338</v>
      </c>
      <c r="H107" s="3" t="str">
        <f t="shared" si="2"/>
        <v>Internal Duplication and Schizophrenic Class</v>
      </c>
      <c r="I107" s="3" t="str">
        <f t="shared" si="3"/>
        <v/>
      </c>
      <c r="J107" s="12" t="str">
        <f>IFERROR(__xludf.DUMMYFUNCTION("""COMPUTED_VALUE"""),"Long Parameter List and Feature Envy")</f>
        <v>Long Parameter List and Feature Envy</v>
      </c>
    </row>
    <row r="108">
      <c r="F108" s="12" t="str">
        <f>IFERROR(__xludf.DUMMYFUNCTION("""COMPUTED_VALUE"""),"Internal Duplication and Sibling Duplication")</f>
        <v>Internal Duplication and Sibling Duplication</v>
      </c>
      <c r="G108" s="3" t="s">
        <v>339</v>
      </c>
      <c r="H108" s="3" t="str">
        <f t="shared" si="2"/>
        <v>Internal Duplication and Sibling Duplication</v>
      </c>
      <c r="I108" s="3" t="str">
        <f t="shared" si="3"/>
        <v/>
      </c>
      <c r="J108" s="12" t="str">
        <f>IFERROR(__xludf.DUMMYFUNCTION("""COMPUTED_VALUE"""),"Long Parameter List and Member Ignoring Method")</f>
        <v>Long Parameter List and Member Ignoring Method</v>
      </c>
    </row>
    <row r="109">
      <c r="F109" s="12" t="str">
        <f>IFERROR(__xludf.DUMMYFUNCTION("""COMPUTED_VALUE"""),"Large Class and Complex Class")</f>
        <v>Large Class and Complex Class</v>
      </c>
      <c r="G109" s="3" t="s">
        <v>340</v>
      </c>
      <c r="H109" s="3" t="str">
        <f t="shared" si="2"/>
        <v>Large Class and Complex Class</v>
      </c>
      <c r="I109" s="3" t="str">
        <f t="shared" si="3"/>
        <v/>
      </c>
      <c r="J109" s="12" t="str">
        <f>IFERROR(__xludf.DUMMYFUNCTION("""COMPUTED_VALUE"""),"Message Chain and Blob!")</f>
        <v>Message Chain and Blob!</v>
      </c>
    </row>
    <row r="110">
      <c r="F110" s="12" t="str">
        <f>IFERROR(__xludf.DUMMYFUNCTION("""COMPUTED_VALUE"""),"Leaking Inner Class and Member Ignoring Method")</f>
        <v>Leaking Inner Class and Member Ignoring Method</v>
      </c>
      <c r="G110" s="3" t="s">
        <v>341</v>
      </c>
      <c r="H110" s="3" t="str">
        <f t="shared" si="2"/>
        <v>Leaking Inner Class and Member Ignoring Method</v>
      </c>
      <c r="I110" s="3" t="str">
        <f t="shared" si="3"/>
        <v/>
      </c>
      <c r="J110" s="12" t="str">
        <f>IFERROR(__xludf.DUMMYFUNCTION("""COMPUTED_VALUE"""),"Message Chain and External Duplication")</f>
        <v>Message Chain and External Duplication</v>
      </c>
    </row>
    <row r="111">
      <c r="F111" s="12" t="str">
        <f>IFERROR(__xludf.DUMMYFUNCTION("""COMPUTED_VALUE"""),"Long Method and Feature Envy")</f>
        <v>Long Method and Feature Envy</v>
      </c>
      <c r="G111" s="3" t="s">
        <v>342</v>
      </c>
      <c r="H111" s="3" t="str">
        <f t="shared" si="2"/>
        <v/>
      </c>
      <c r="I111" s="3" t="str">
        <f t="shared" si="3"/>
        <v>Long Method and Feature Envy</v>
      </c>
      <c r="J111" s="12" t="str">
        <f>IFERROR(__xludf.DUMMYFUNCTION("""COMPUTED_VALUE"""),"Message Chain and Internal Duplication")</f>
        <v>Message Chain and Internal Duplication</v>
      </c>
    </row>
    <row r="112">
      <c r="F112" s="12" t="str">
        <f>IFERROR(__xludf.DUMMYFUNCTION("""COMPUTED_VALUE"""),"Long Method and Long Parameter List")</f>
        <v>Long Method and Long Parameter List</v>
      </c>
      <c r="G112" s="3" t="s">
        <v>343</v>
      </c>
      <c r="H112" s="3" t="str">
        <f t="shared" si="2"/>
        <v>Long Method and Long Parameter List</v>
      </c>
      <c r="I112" s="3" t="str">
        <f t="shared" si="3"/>
        <v/>
      </c>
      <c r="J112" s="12" t="str">
        <f>IFERROR(__xludf.DUMMYFUNCTION("""COMPUTED_VALUE"""),"Message Chain and Member Ignoring Method")</f>
        <v>Message Chain and Member Ignoring Method</v>
      </c>
    </row>
    <row r="113">
      <c r="F113" s="12" t="str">
        <f>IFERROR(__xludf.DUMMYFUNCTION("""COMPUTED_VALUE"""),"Long Method and Member Ignoring Method")</f>
        <v>Long Method and Member Ignoring Method</v>
      </c>
      <c r="G113" s="3" t="s">
        <v>344</v>
      </c>
      <c r="H113" s="3" t="str">
        <f t="shared" si="2"/>
        <v>Long Method and Member Ignoring Method</v>
      </c>
      <c r="I113" s="3" t="str">
        <f t="shared" si="3"/>
        <v/>
      </c>
      <c r="J113" s="12" t="str">
        <f>IFERROR(__xludf.DUMMYFUNCTION("""COMPUTED_VALUE"""),"Message Chain and Refused Bequest")</f>
        <v>Message Chain and Refused Bequest</v>
      </c>
    </row>
    <row r="114">
      <c r="F114" s="12" t="str">
        <f>IFERROR(__xludf.DUMMYFUNCTION("""COMPUTED_VALUE"""),"Long Method and Spaghetti Code")</f>
        <v>Long Method and Spaghetti Code</v>
      </c>
      <c r="G114" s="3" t="s">
        <v>345</v>
      </c>
      <c r="H114" s="3" t="str">
        <f t="shared" si="2"/>
        <v>Long Method and Spaghetti Code</v>
      </c>
      <c r="I114" s="3" t="str">
        <f t="shared" si="3"/>
        <v/>
      </c>
      <c r="J114" s="12" t="str">
        <f>IFERROR(__xludf.DUMMYFUNCTION("""COMPUTED_VALUE"""),"Message Chain and Schizophrenic Class")</f>
        <v>Message Chain and Schizophrenic Class</v>
      </c>
    </row>
    <row r="115">
      <c r="F115" s="12" t="str">
        <f>IFERROR(__xludf.DUMMYFUNCTION("""COMPUTED_VALUE"""),"Long Parameter List and Class Data Should Be Private")</f>
        <v>Long Parameter List and Class Data Should Be Private</v>
      </c>
      <c r="G115" s="3" t="s">
        <v>346</v>
      </c>
      <c r="H115" s="3" t="str">
        <f t="shared" si="2"/>
        <v>Long Parameter List and Class Data Should Be Private</v>
      </c>
      <c r="I115" s="3" t="str">
        <f t="shared" si="3"/>
        <v/>
      </c>
      <c r="J115" s="12" t="str">
        <f>IFERROR(__xludf.DUMMYFUNCTION("""COMPUTED_VALUE"""),"Message Chain and Sibling Duplication")</f>
        <v>Message Chain and Sibling Duplication</v>
      </c>
    </row>
    <row r="116">
      <c r="F116" s="12" t="str">
        <f>IFERROR(__xludf.DUMMYFUNCTION("""COMPUTED_VALUE"""),"Long Parameter List and Feature Envy")</f>
        <v>Long Parameter List and Feature Envy</v>
      </c>
      <c r="G116" s="3" t="s">
        <v>347</v>
      </c>
      <c r="H116" s="3" t="str">
        <f t="shared" si="2"/>
        <v>Long Parameter List and Feature Envy</v>
      </c>
      <c r="I116" s="3" t="str">
        <f t="shared" si="3"/>
        <v/>
      </c>
      <c r="J116" s="12" t="str">
        <f>IFERROR(__xludf.DUMMYFUNCTION("""COMPUTED_VALUE"""),"Message Chain and Spaghetti Code")</f>
        <v>Message Chain and Spaghetti Code</v>
      </c>
    </row>
    <row r="117">
      <c r="F117" s="12" t="str">
        <f>IFERROR(__xludf.DUMMYFUNCTION("""COMPUTED_VALUE"""),"Long Parameter List and Member Ignoring Method")</f>
        <v>Long Parameter List and Member Ignoring Method</v>
      </c>
      <c r="G117" s="3" t="s">
        <v>348</v>
      </c>
      <c r="H117" s="3" t="str">
        <f t="shared" si="2"/>
        <v>Long Parameter List and Member Ignoring Method</v>
      </c>
      <c r="I117" s="3" t="str">
        <f t="shared" si="3"/>
        <v/>
      </c>
      <c r="J117" s="12" t="str">
        <f>IFERROR(__xludf.DUMMYFUNCTION("""COMPUTED_VALUE"""),"Mystery Guest and Eager Test")</f>
        <v>Mystery Guest and Eager Test</v>
      </c>
    </row>
    <row r="118">
      <c r="F118" s="12" t="str">
        <f>IFERROR(__xludf.DUMMYFUNCTION("""COMPUTED_VALUE"""),"Message Chain and Blob!")</f>
        <v>Message Chain and Blob!</v>
      </c>
      <c r="G118" s="3" t="s">
        <v>349</v>
      </c>
      <c r="H118" s="3" t="str">
        <f t="shared" si="2"/>
        <v>Message Chain and Blob!</v>
      </c>
      <c r="I118" s="3" t="str">
        <f t="shared" si="3"/>
        <v/>
      </c>
      <c r="J118" s="12" t="str">
        <f>IFERROR(__xludf.DUMMYFUNCTION("""COMPUTED_VALUE"""),"Mystery Guest and Indirect Testing")</f>
        <v>Mystery Guest and Indirect Testing</v>
      </c>
    </row>
    <row r="119">
      <c r="F119" s="12" t="str">
        <f>IFERROR(__xludf.DUMMYFUNCTION("""COMPUTED_VALUE"""),"Message Chain and Complex Class")</f>
        <v>Message Chain and Complex Class</v>
      </c>
      <c r="G119" s="3" t="s">
        <v>350</v>
      </c>
      <c r="H119" s="3" t="str">
        <f t="shared" si="2"/>
        <v/>
      </c>
      <c r="I119" s="3" t="str">
        <f t="shared" si="3"/>
        <v>Message Chain and Complex Class</v>
      </c>
      <c r="J119" s="12" t="str">
        <f>IFERROR(__xludf.DUMMYFUNCTION("""COMPUTED_VALUE"""),"Mystery Guest and Resource Optimism")</f>
        <v>Mystery Guest and Resource Optimism</v>
      </c>
    </row>
    <row r="120">
      <c r="F120" s="12" t="str">
        <f>IFERROR(__xludf.DUMMYFUNCTION("""COMPUTED_VALUE"""),"Message Chain and External Duplication")</f>
        <v>Message Chain and External Duplication</v>
      </c>
      <c r="G120" s="3" t="s">
        <v>351</v>
      </c>
      <c r="H120" s="3" t="str">
        <f t="shared" si="2"/>
        <v>Message Chain and External Duplication</v>
      </c>
      <c r="I120" s="3" t="str">
        <f t="shared" si="3"/>
        <v/>
      </c>
      <c r="J120" s="12" t="str">
        <f>IFERROR(__xludf.DUMMYFUNCTION("""COMPUTED_VALUE"""),"No Low Memory Resolver and Member Ignoring Method")</f>
        <v>No Low Memory Resolver and Member Ignoring Method</v>
      </c>
    </row>
    <row r="121">
      <c r="F121" s="12" t="str">
        <f>IFERROR(__xludf.DUMMYFUNCTION("""COMPUTED_VALUE"""),"Message Chain and Internal Duplication")</f>
        <v>Message Chain and Internal Duplication</v>
      </c>
      <c r="G121" s="3" t="s">
        <v>352</v>
      </c>
      <c r="H121" s="3" t="str">
        <f t="shared" si="2"/>
        <v>Message Chain and Internal Duplication</v>
      </c>
      <c r="I121" s="3" t="str">
        <f t="shared" si="3"/>
        <v/>
      </c>
      <c r="J121" s="12" t="str">
        <f>IFERROR(__xludf.DUMMYFUNCTION("""COMPUTED_VALUE"""),"Refused Parent Bequest and God Class")</f>
        <v>Refused Parent Bequest and God Class</v>
      </c>
    </row>
    <row r="122">
      <c r="F122" s="12" t="str">
        <f>IFERROR(__xludf.DUMMYFUNCTION("""COMPUTED_VALUE"""),"Message Chain and Member Ignoring Method")</f>
        <v>Message Chain and Member Ignoring Method</v>
      </c>
      <c r="G122" s="3" t="s">
        <v>353</v>
      </c>
      <c r="H122" s="3" t="str">
        <f t="shared" si="2"/>
        <v>Message Chain and Member Ignoring Method</v>
      </c>
      <c r="I122" s="3" t="str">
        <f t="shared" si="3"/>
        <v/>
      </c>
      <c r="J122" s="12" t="str">
        <f>IFERROR(__xludf.DUMMYFUNCTION("""COMPUTED_VALUE"""),"Schizophrenic Class and Blob Operation")</f>
        <v>Schizophrenic Class and Blob Operation</v>
      </c>
    </row>
    <row r="123">
      <c r="F123" s="12" t="str">
        <f>IFERROR(__xludf.DUMMYFUNCTION("""COMPUTED_VALUE"""),"Message Chain and Refused Bequest")</f>
        <v>Message Chain and Refused Bequest</v>
      </c>
      <c r="G123" s="3" t="s">
        <v>354</v>
      </c>
      <c r="H123" s="3" t="str">
        <f t="shared" si="2"/>
        <v>Message Chain and Refused Bequest</v>
      </c>
      <c r="I123" s="3" t="str">
        <f t="shared" si="3"/>
        <v/>
      </c>
      <c r="J123" s="12" t="str">
        <f>IFERROR(__xludf.DUMMYFUNCTION("""COMPUTED_VALUE"""),"Schizophrenic Class and Data Clump")</f>
        <v>Schizophrenic Class and Data Clump</v>
      </c>
    </row>
    <row r="124">
      <c r="F124" s="12" t="str">
        <f>IFERROR(__xludf.DUMMYFUNCTION("""COMPUTED_VALUE"""),"Message Chain and Schizophrenic Class")</f>
        <v>Message Chain and Schizophrenic Class</v>
      </c>
      <c r="G124" s="3" t="s">
        <v>355</v>
      </c>
      <c r="H124" s="3" t="str">
        <f t="shared" si="2"/>
        <v>Message Chain and Schizophrenic Class</v>
      </c>
      <c r="I124" s="3" t="str">
        <f t="shared" si="3"/>
        <v/>
      </c>
      <c r="J124" s="12" t="str">
        <f>IFERROR(__xludf.DUMMYFUNCTION("""COMPUTED_VALUE"""),"Schizophrenic Class and Intensive Coupling")</f>
        <v>Schizophrenic Class and Intensive Coupling</v>
      </c>
    </row>
    <row r="125">
      <c r="F125" s="12" t="str">
        <f>IFERROR(__xludf.DUMMYFUNCTION("""COMPUTED_VALUE"""),"Message Chain and Sibling Duplication")</f>
        <v>Message Chain and Sibling Duplication</v>
      </c>
      <c r="G125" s="3" t="s">
        <v>356</v>
      </c>
      <c r="H125" s="3" t="str">
        <f t="shared" si="2"/>
        <v>Message Chain and Sibling Duplication</v>
      </c>
      <c r="I125" s="3" t="str">
        <f t="shared" si="3"/>
        <v/>
      </c>
      <c r="J125" s="12" t="str">
        <f>IFERROR(__xludf.DUMMYFUNCTION("""COMPUTED_VALUE"""),"Shotgun Surgery and Internal Duplication")</f>
        <v>Shotgun Surgery and Internal Duplication</v>
      </c>
    </row>
    <row r="126">
      <c r="F126" s="12" t="str">
        <f>IFERROR(__xludf.DUMMYFUNCTION("""COMPUTED_VALUE"""),"Message Chain and Spaghetti Code")</f>
        <v>Message Chain and Spaghetti Code</v>
      </c>
      <c r="G126" s="3" t="s">
        <v>357</v>
      </c>
      <c r="H126" s="3" t="str">
        <f t="shared" si="2"/>
        <v>Message Chain and Spaghetti Code</v>
      </c>
      <c r="I126" s="3" t="str">
        <f t="shared" si="3"/>
        <v/>
      </c>
      <c r="J126" s="12" t="str">
        <f>IFERROR(__xludf.DUMMYFUNCTION("""COMPUTED_VALUE"""),"Sibling Duplication and Data Class")</f>
        <v>Sibling Duplication and Data Class</v>
      </c>
    </row>
    <row r="127">
      <c r="F127" s="12" t="str">
        <f>IFERROR(__xludf.DUMMYFUNCTION("""COMPUTED_VALUE"""),"Mystery Guest and Eager Test")</f>
        <v>Mystery Guest and Eager Test</v>
      </c>
      <c r="G127" s="3" t="s">
        <v>358</v>
      </c>
      <c r="H127" s="3" t="str">
        <f t="shared" si="2"/>
        <v>Mystery Guest and Eager Test</v>
      </c>
      <c r="I127" s="3" t="str">
        <f t="shared" si="3"/>
        <v/>
      </c>
      <c r="J127" s="12" t="str">
        <f>IFERROR(__xludf.DUMMYFUNCTION("""COMPUTED_VALUE"""),"Sibling Duplication and External Duplication")</f>
        <v>Sibling Duplication and External Duplication</v>
      </c>
    </row>
    <row r="128">
      <c r="F128" s="12" t="str">
        <f>IFERROR(__xludf.DUMMYFUNCTION("""COMPUTED_VALUE"""),"Mystery Guest and Indirect Testing")</f>
        <v>Mystery Guest and Indirect Testing</v>
      </c>
      <c r="G128" s="3" t="s">
        <v>359</v>
      </c>
      <c r="H128" s="3" t="str">
        <f t="shared" si="2"/>
        <v>Mystery Guest and Indirect Testing</v>
      </c>
      <c r="I128" s="3" t="str">
        <f t="shared" si="3"/>
        <v/>
      </c>
      <c r="J128" s="12" t="str">
        <f>IFERROR(__xludf.DUMMYFUNCTION("""COMPUTED_VALUE"""),"Slow Loop and Member Ignoring Method")</f>
        <v>Slow Loop and Member Ignoring Method</v>
      </c>
    </row>
    <row r="129">
      <c r="F129" s="12" t="str">
        <f>IFERROR(__xludf.DUMMYFUNCTION("""COMPUTED_VALUE"""),"Mystery Guest and Resource Optimism")</f>
        <v>Mystery Guest and Resource Optimism</v>
      </c>
      <c r="G129" s="3" t="s">
        <v>360</v>
      </c>
      <c r="H129" s="3" t="str">
        <f t="shared" si="2"/>
        <v>Mystery Guest and Resource Optimism</v>
      </c>
      <c r="I129" s="3" t="str">
        <f t="shared" si="3"/>
        <v/>
      </c>
      <c r="J129" s="12" t="str">
        <f>IFERROR(__xludf.DUMMYFUNCTION("""COMPUTED_VALUE"""),"Speculative Generality and Swiss Army Knife")</f>
        <v>Speculative Generality and Swiss Army Knife</v>
      </c>
    </row>
    <row r="130">
      <c r="F130" s="12" t="str">
        <f>IFERROR(__xludf.DUMMYFUNCTION("""COMPUTED_VALUE"""),"No Low Memory Resolver and Member Ignoring Method")</f>
        <v>No Low Memory Resolver and Member Ignoring Method</v>
      </c>
      <c r="G130" s="3" t="s">
        <v>361</v>
      </c>
      <c r="H130" s="3" t="str">
        <f t="shared" si="2"/>
        <v>No Low Memory Resolver and Member Ignoring Method</v>
      </c>
      <c r="I130" s="3" t="str">
        <f t="shared" si="3"/>
        <v/>
      </c>
      <c r="J130" s="12" t="str">
        <f>IFERROR(__xludf.DUMMYFUNCTION("""COMPUTED_VALUE"""),"Test Code Duplication and Eager Test")</f>
        <v>Test Code Duplication and Eager Test</v>
      </c>
    </row>
    <row r="131">
      <c r="F131" s="12" t="str">
        <f>IFERROR(__xludf.DUMMYFUNCTION("""COMPUTED_VALUE"""),"Refused Parent Bequest and God Class")</f>
        <v>Refused Parent Bequest and God Class</v>
      </c>
      <c r="G131" s="3" t="s">
        <v>362</v>
      </c>
      <c r="H131" s="3" t="str">
        <f t="shared" si="2"/>
        <v>Refused Parent Bequest and God Class</v>
      </c>
      <c r="I131" s="3" t="str">
        <f t="shared" si="3"/>
        <v/>
      </c>
      <c r="J131" s="12" t="str">
        <f>IFERROR(__xludf.DUMMYFUNCTION("""COMPUTED_VALUE"""),"Test Code Duplication and Indirect Testing")</f>
        <v>Test Code Duplication and Indirect Testing</v>
      </c>
    </row>
    <row r="132">
      <c r="F132" s="12" t="str">
        <f>IFERROR(__xludf.DUMMYFUNCTION("""COMPUTED_VALUE"""),"Schizophrenic Class and Blob Operation")</f>
        <v>Schizophrenic Class and Blob Operation</v>
      </c>
      <c r="G132" s="3" t="s">
        <v>363</v>
      </c>
      <c r="H132" s="3" t="str">
        <f t="shared" si="2"/>
        <v>Schizophrenic Class and Blob Operation</v>
      </c>
      <c r="I132" s="3" t="str">
        <f t="shared" si="3"/>
        <v/>
      </c>
      <c r="J132" s="12" t="str">
        <f>IFERROR(__xludf.DUMMYFUNCTION("""COMPUTED_VALUE"""),"Test Code Duplication and Mystery Guest")</f>
        <v>Test Code Duplication and Mystery Guest</v>
      </c>
    </row>
    <row r="133">
      <c r="F133" s="12" t="str">
        <f>IFERROR(__xludf.DUMMYFUNCTION("""COMPUTED_VALUE"""),"Schizophrenic Class and Data Clump")</f>
        <v>Schizophrenic Class and Data Clump</v>
      </c>
      <c r="G133" s="3" t="s">
        <v>364</v>
      </c>
      <c r="H133" s="3" t="str">
        <f t="shared" si="2"/>
        <v>Schizophrenic Class and Data Clump</v>
      </c>
      <c r="I133" s="3" t="str">
        <f t="shared" si="3"/>
        <v/>
      </c>
      <c r="J133" s="12" t="str">
        <f>IFERROR(__xludf.DUMMYFUNCTION("""COMPUTED_VALUE"""),"Test Code Duplication and Sensitive Equality")</f>
        <v>Test Code Duplication and Sensitive Equality</v>
      </c>
    </row>
    <row r="134">
      <c r="F134" s="12" t="str">
        <f>IFERROR(__xludf.DUMMYFUNCTION("""COMPUTED_VALUE"""),"Schizophrenic Class and Intensive Coupling")</f>
        <v>Schizophrenic Class and Intensive Coupling</v>
      </c>
      <c r="G134" s="3" t="s">
        <v>365</v>
      </c>
      <c r="H134" s="3" t="str">
        <f t="shared" si="2"/>
        <v>Schizophrenic Class and Intensive Coupling</v>
      </c>
      <c r="I134" s="3" t="str">
        <f t="shared" si="3"/>
        <v/>
      </c>
      <c r="J134" s="12" t="str">
        <f>IFERROR(__xludf.DUMMYFUNCTION("""COMPUTED_VALUE"""),"Too Many Public Methods and Too Many Methods")</f>
        <v>Too Many Public Methods and Too Many Methods</v>
      </c>
    </row>
    <row r="135">
      <c r="F135" s="12" t="str">
        <f>IFERROR(__xludf.DUMMYFUNCTION("""COMPUTED_VALUE"""),"Shotgun Surgery and Internal Duplication")</f>
        <v>Shotgun Surgery and Internal Duplication</v>
      </c>
      <c r="G135" s="3" t="s">
        <v>366</v>
      </c>
      <c r="H135" s="3" t="str">
        <f t="shared" si="2"/>
        <v>Shotgun Surgery and Internal Duplication</v>
      </c>
      <c r="I135" s="3" t="str">
        <f t="shared" si="3"/>
        <v/>
      </c>
      <c r="J135" s="12" t="str">
        <f>IFERROR(__xludf.DUMMYFUNCTION("""COMPUTED_VALUE"""),"Tradition Breaker and Blob Operation")</f>
        <v>Tradition Breaker and Blob Operation</v>
      </c>
    </row>
    <row r="136">
      <c r="F136" s="12" t="str">
        <f>IFERROR(__xludf.DUMMYFUNCTION("""COMPUTED_VALUE"""),"Sibling Duplication and Data Class")</f>
        <v>Sibling Duplication and Data Class</v>
      </c>
      <c r="G136" s="3" t="s">
        <v>367</v>
      </c>
      <c r="H136" s="3" t="str">
        <f t="shared" si="2"/>
        <v>Sibling Duplication and Data Class</v>
      </c>
      <c r="I136" s="3" t="str">
        <f t="shared" si="3"/>
        <v/>
      </c>
      <c r="J136" s="12" t="str">
        <f>IFERROR(__xludf.DUMMYFUNCTION("""COMPUTED_VALUE"""),"Complex Class and Message Chain")</f>
        <v>Complex Class and Message Chain</v>
      </c>
    </row>
    <row r="137">
      <c r="F137" s="12" t="str">
        <f>IFERROR(__xludf.DUMMYFUNCTION("""COMPUTED_VALUE"""),"Sibling Duplication and External Duplication")</f>
        <v>Sibling Duplication and External Duplication</v>
      </c>
      <c r="G137" s="3" t="s">
        <v>368</v>
      </c>
      <c r="H137" s="3" t="str">
        <f t="shared" si="2"/>
        <v>Sibling Duplication and External Duplication</v>
      </c>
      <c r="I137" s="3" t="str">
        <f t="shared" si="3"/>
        <v/>
      </c>
      <c r="J137" s="12" t="str">
        <f>IFERROR(__xludf.DUMMYFUNCTION("""COMPUTED_VALUE"""),"Data Class and Feature Envy")</f>
        <v>Data Class and Feature Envy</v>
      </c>
    </row>
    <row r="138">
      <c r="F138" s="12" t="str">
        <f>IFERROR(__xludf.DUMMYFUNCTION("""COMPUTED_VALUE"""),"Slow Loop and Member Ignoring Method")</f>
        <v>Slow Loop and Member Ignoring Method</v>
      </c>
      <c r="G138" s="3" t="s">
        <v>369</v>
      </c>
      <c r="H138" s="3" t="str">
        <f t="shared" si="2"/>
        <v>Slow Loop and Member Ignoring Method</v>
      </c>
      <c r="I138" s="3" t="str">
        <f t="shared" si="3"/>
        <v/>
      </c>
      <c r="J138" s="12" t="str">
        <f>IFERROR(__xludf.DUMMYFUNCTION("""COMPUTED_VALUE"""),"Data Clump and Feature Envy")</f>
        <v>Data Clump and Feature Envy</v>
      </c>
    </row>
    <row r="139">
      <c r="F139" s="12" t="str">
        <f>IFERROR(__xludf.DUMMYFUNCTION("""COMPUTED_VALUE"""),"Speculative Generality and Swiss Army Knife")</f>
        <v>Speculative Generality and Swiss Army Knife</v>
      </c>
      <c r="G139" s="3" t="s">
        <v>370</v>
      </c>
      <c r="H139" s="3" t="str">
        <f t="shared" si="2"/>
        <v>Speculative Generality and Swiss Army Knife</v>
      </c>
      <c r="I139" s="3" t="str">
        <f t="shared" si="3"/>
        <v/>
      </c>
      <c r="J139" s="12" t="str">
        <f>IFERROR(__xludf.DUMMYFUNCTION("""COMPUTED_VALUE"""),"Data Clump and God Class")</f>
        <v>Data Clump and God Class</v>
      </c>
    </row>
    <row r="140">
      <c r="F140" s="12" t="str">
        <f>IFERROR(__xludf.DUMMYFUNCTION("""COMPUTED_VALUE"""),"Test Code Duplication and Eager Test")</f>
        <v>Test Code Duplication and Eager Test</v>
      </c>
      <c r="G140" s="3" t="s">
        <v>371</v>
      </c>
      <c r="H140" s="3" t="str">
        <f t="shared" si="2"/>
        <v>Test Code Duplication and Eager Test</v>
      </c>
      <c r="I140" s="3" t="str">
        <f t="shared" si="3"/>
        <v/>
      </c>
    </row>
    <row r="141">
      <c r="F141" s="12" t="str">
        <f>IFERROR(__xludf.DUMMYFUNCTION("""COMPUTED_VALUE"""),"Test Code Duplication and Indirect Testing")</f>
        <v>Test Code Duplication and Indirect Testing</v>
      </c>
      <c r="G141" s="3" t="s">
        <v>372</v>
      </c>
      <c r="H141" s="3" t="str">
        <f t="shared" si="2"/>
        <v>Test Code Duplication and Indirect Testing</v>
      </c>
      <c r="I141" s="3" t="str">
        <f t="shared" si="3"/>
        <v/>
      </c>
    </row>
    <row r="142">
      <c r="F142" s="12" t="str">
        <f>IFERROR(__xludf.DUMMYFUNCTION("""COMPUTED_VALUE"""),"Test Code Duplication and Mystery Guest")</f>
        <v>Test Code Duplication and Mystery Guest</v>
      </c>
      <c r="G142" s="3" t="s">
        <v>373</v>
      </c>
      <c r="H142" s="3" t="str">
        <f t="shared" si="2"/>
        <v>Test Code Duplication and Mystery Guest</v>
      </c>
      <c r="I142" s="3" t="str">
        <f t="shared" si="3"/>
        <v/>
      </c>
    </row>
    <row r="143">
      <c r="F143" s="12" t="str">
        <f>IFERROR(__xludf.DUMMYFUNCTION("""COMPUTED_VALUE"""),"Test Code Duplication and Sensitive Equality")</f>
        <v>Test Code Duplication and Sensitive Equality</v>
      </c>
      <c r="G143" s="3" t="s">
        <v>374</v>
      </c>
      <c r="H143" s="3" t="str">
        <f t="shared" si="2"/>
        <v>Test Code Duplication and Sensitive Equality</v>
      </c>
      <c r="I143" s="3" t="str">
        <f t="shared" si="3"/>
        <v/>
      </c>
    </row>
    <row r="144">
      <c r="F144" s="12" t="str">
        <f>IFERROR(__xludf.DUMMYFUNCTION("""COMPUTED_VALUE"""),"Too Many Public Methods and Too Many Methods")</f>
        <v>Too Many Public Methods and Too Many Methods</v>
      </c>
      <c r="G144" s="3" t="s">
        <v>375</v>
      </c>
      <c r="H144" s="3" t="str">
        <f t="shared" si="2"/>
        <v>Too Many Public Methods and Too Many Methods</v>
      </c>
      <c r="I144" s="3" t="str">
        <f t="shared" si="3"/>
        <v/>
      </c>
    </row>
    <row r="145">
      <c r="F145" s="12" t="str">
        <f>IFERROR(__xludf.DUMMYFUNCTION("""COMPUTED_VALUE"""),"Tradition Breaker and Blob Operation")</f>
        <v>Tradition Breaker and Blob Operation</v>
      </c>
      <c r="G145" s="3" t="s">
        <v>376</v>
      </c>
      <c r="H145" s="3" t="str">
        <f t="shared" si="2"/>
        <v>Tradition Breaker and Blob Operation</v>
      </c>
      <c r="I145" s="3" t="str">
        <f t="shared" si="3"/>
        <v/>
      </c>
    </row>
    <row r="146">
      <c r="F146" s="12" t="str">
        <f>IFERROR(__xludf.DUMMYFUNCTION("""COMPUTED_VALUE"""),"Tradition Breaker and Internal Duplication")</f>
        <v>Tradition Breaker and Internal Duplication</v>
      </c>
      <c r="G146" s="12" t="s">
        <v>377</v>
      </c>
      <c r="H146" s="3"/>
    </row>
    <row r="147">
      <c r="F147" s="12" t="str">
        <f>IFERROR(__xludf.DUMMYFUNCTION("""COMPUTED_VALUE"""),"Tradition Breaker and Schizophrenic Class")</f>
        <v>Tradition Breaker and Schizophrenic Class</v>
      </c>
      <c r="G147" s="12" t="s">
        <v>378</v>
      </c>
      <c r="H147" s="3"/>
    </row>
    <row r="148">
      <c r="G148" s="12" t="s">
        <v>379</v>
      </c>
      <c r="H148" s="3"/>
    </row>
    <row r="149">
      <c r="G149" s="12" t="s">
        <v>379</v>
      </c>
      <c r="H149" s="3"/>
    </row>
    <row r="150">
      <c r="G150" s="12" t="s">
        <v>379</v>
      </c>
      <c r="H150" s="3"/>
    </row>
    <row r="151">
      <c r="G151" s="12" t="s">
        <v>379</v>
      </c>
      <c r="H151" s="3"/>
    </row>
    <row r="152">
      <c r="G152" s="12" t="s">
        <v>379</v>
      </c>
      <c r="H152" s="3"/>
    </row>
    <row r="153">
      <c r="G153" s="12" t="s">
        <v>379</v>
      </c>
      <c r="H153" s="3"/>
    </row>
    <row r="154">
      <c r="G154" s="12" t="s">
        <v>379</v>
      </c>
      <c r="H154" s="3"/>
    </row>
    <row r="155">
      <c r="G155" s="12" t="s">
        <v>379</v>
      </c>
      <c r="H155" s="3"/>
    </row>
    <row r="156">
      <c r="G156" s="12" t="s">
        <v>379</v>
      </c>
      <c r="H156" s="3"/>
    </row>
    <row r="157">
      <c r="G157" s="12" t="s">
        <v>379</v>
      </c>
      <c r="H157" s="3"/>
    </row>
    <row r="158">
      <c r="G158" s="12" t="s">
        <v>379</v>
      </c>
      <c r="H158" s="3"/>
    </row>
    <row r="159">
      <c r="G159" s="12" t="s">
        <v>379</v>
      </c>
      <c r="H159" s="3"/>
    </row>
    <row r="160">
      <c r="G160" s="12" t="s">
        <v>379</v>
      </c>
      <c r="H160" s="3"/>
    </row>
    <row r="161">
      <c r="G161" s="12" t="s">
        <v>379</v>
      </c>
      <c r="H161" s="3"/>
    </row>
    <row r="162">
      <c r="G162" s="12" t="s">
        <v>379</v>
      </c>
      <c r="H162" s="3"/>
    </row>
    <row r="163">
      <c r="G163" s="12" t="s">
        <v>379</v>
      </c>
      <c r="H163" s="3"/>
    </row>
    <row r="164">
      <c r="G164" s="12" t="s">
        <v>379</v>
      </c>
      <c r="H164" s="3"/>
    </row>
    <row r="165">
      <c r="G165" s="12" t="s">
        <v>379</v>
      </c>
      <c r="H165" s="3"/>
    </row>
    <row r="166">
      <c r="G166" s="12" t="s">
        <v>379</v>
      </c>
      <c r="H166" s="3"/>
    </row>
    <row r="167">
      <c r="G167" s="12" t="s">
        <v>379</v>
      </c>
      <c r="H167" s="3"/>
    </row>
    <row r="168">
      <c r="G168" s="12" t="s">
        <v>379</v>
      </c>
      <c r="H168" s="3"/>
    </row>
    <row r="169">
      <c r="G169" s="12" t="s">
        <v>379</v>
      </c>
      <c r="H169" s="3"/>
    </row>
    <row r="170">
      <c r="G170" s="12" t="s">
        <v>379</v>
      </c>
      <c r="H170" s="3"/>
    </row>
    <row r="171">
      <c r="G171" s="12" t="s">
        <v>379</v>
      </c>
      <c r="H171" s="3"/>
    </row>
    <row r="172">
      <c r="G172" s="12" t="s">
        <v>379</v>
      </c>
      <c r="H172" s="3"/>
    </row>
    <row r="173">
      <c r="G173" s="12" t="s">
        <v>379</v>
      </c>
      <c r="H173" s="3"/>
    </row>
    <row r="174">
      <c r="G174" s="12" t="s">
        <v>379</v>
      </c>
      <c r="H174" s="3"/>
    </row>
    <row r="175">
      <c r="G175" s="12" t="s">
        <v>379</v>
      </c>
      <c r="H175" s="3"/>
    </row>
    <row r="176">
      <c r="G176" s="12" t="s">
        <v>379</v>
      </c>
      <c r="H176" s="3"/>
    </row>
    <row r="177">
      <c r="G177" s="12" t="s">
        <v>379</v>
      </c>
      <c r="H177" s="3"/>
    </row>
    <row r="178">
      <c r="G178" s="12" t="s">
        <v>379</v>
      </c>
      <c r="H178" s="3"/>
    </row>
    <row r="179">
      <c r="G179" s="12" t="s">
        <v>379</v>
      </c>
      <c r="H179" s="3"/>
    </row>
    <row r="180">
      <c r="G180" s="12" t="s">
        <v>379</v>
      </c>
      <c r="H180" s="3"/>
    </row>
    <row r="181">
      <c r="G181" s="12" t="s">
        <v>379</v>
      </c>
      <c r="H181" s="3"/>
    </row>
    <row r="182">
      <c r="G182" s="12" t="s">
        <v>379</v>
      </c>
      <c r="H182" s="3"/>
    </row>
    <row r="183">
      <c r="G183" s="12" t="s">
        <v>379</v>
      </c>
      <c r="H183" s="3"/>
    </row>
    <row r="184">
      <c r="G184" s="12" t="s">
        <v>379</v>
      </c>
      <c r="H184" s="3"/>
    </row>
    <row r="185">
      <c r="G185" s="12" t="s">
        <v>379</v>
      </c>
      <c r="H185" s="3"/>
    </row>
    <row r="186">
      <c r="G186" s="12" t="s">
        <v>379</v>
      </c>
      <c r="H186" s="3"/>
    </row>
    <row r="187">
      <c r="G187" s="12" t="s">
        <v>379</v>
      </c>
      <c r="H187" s="3"/>
    </row>
    <row r="188">
      <c r="G188" s="12" t="s">
        <v>379</v>
      </c>
      <c r="H188" s="3"/>
    </row>
    <row r="189">
      <c r="G189" s="12" t="s">
        <v>379</v>
      </c>
      <c r="H189" s="3"/>
    </row>
    <row r="190">
      <c r="G190" s="12" t="s">
        <v>379</v>
      </c>
      <c r="H190" s="3"/>
    </row>
    <row r="191">
      <c r="G191" s="12" t="s">
        <v>379</v>
      </c>
      <c r="H191" s="3"/>
    </row>
    <row r="192">
      <c r="G192" s="12" t="s">
        <v>379</v>
      </c>
      <c r="H192" s="3"/>
    </row>
    <row r="193">
      <c r="G193" s="12" t="s">
        <v>379</v>
      </c>
      <c r="H193" s="3"/>
    </row>
    <row r="194">
      <c r="G194" s="12" t="s">
        <v>379</v>
      </c>
      <c r="H194" s="3"/>
    </row>
    <row r="195">
      <c r="G195" s="12" t="s">
        <v>379</v>
      </c>
      <c r="H195" s="3"/>
    </row>
    <row r="196">
      <c r="G196" s="12" t="s">
        <v>379</v>
      </c>
      <c r="H196" s="3"/>
    </row>
    <row r="197">
      <c r="G197" s="12" t="s">
        <v>379</v>
      </c>
      <c r="H197" s="3"/>
    </row>
    <row r="198">
      <c r="G198" s="12" t="s">
        <v>379</v>
      </c>
      <c r="H198" s="3"/>
    </row>
    <row r="199">
      <c r="G199" s="12" t="s">
        <v>379</v>
      </c>
      <c r="H199" s="3"/>
    </row>
    <row r="200">
      <c r="G200" s="12" t="s">
        <v>379</v>
      </c>
      <c r="H200" s="3"/>
    </row>
    <row r="201">
      <c r="G201" s="12" t="s">
        <v>379</v>
      </c>
      <c r="H201" s="3"/>
    </row>
    <row r="202">
      <c r="G202" s="12" t="s">
        <v>379</v>
      </c>
      <c r="H202" s="3"/>
    </row>
    <row r="203">
      <c r="G203" s="12" t="s">
        <v>379</v>
      </c>
      <c r="H203" s="3"/>
    </row>
    <row r="204">
      <c r="G204" s="12" t="s">
        <v>379</v>
      </c>
      <c r="H204" s="3"/>
    </row>
    <row r="205">
      <c r="G205" s="12" t="s">
        <v>379</v>
      </c>
      <c r="H205" s="3"/>
    </row>
    <row r="206">
      <c r="G206" s="12" t="s">
        <v>379</v>
      </c>
      <c r="H206" s="3"/>
    </row>
    <row r="207">
      <c r="G207" s="12" t="s">
        <v>379</v>
      </c>
      <c r="H207" s="3"/>
    </row>
    <row r="208">
      <c r="G208" s="12" t="s">
        <v>379</v>
      </c>
      <c r="H208" s="3"/>
    </row>
    <row r="209">
      <c r="G209" s="12" t="s">
        <v>379</v>
      </c>
      <c r="H209" s="3"/>
    </row>
    <row r="210">
      <c r="G210" s="12" t="s">
        <v>379</v>
      </c>
      <c r="H210" s="3"/>
    </row>
    <row r="211">
      <c r="G211" s="12" t="s">
        <v>379</v>
      </c>
      <c r="H211" s="3"/>
    </row>
    <row r="212">
      <c r="G212" s="12" t="s">
        <v>379</v>
      </c>
      <c r="H212" s="3"/>
    </row>
    <row r="213">
      <c r="G213" s="12" t="s">
        <v>379</v>
      </c>
      <c r="H213" s="3"/>
    </row>
    <row r="214">
      <c r="G214" s="12" t="s">
        <v>379</v>
      </c>
      <c r="H214" s="3"/>
    </row>
    <row r="215">
      <c r="G215" s="12" t="s">
        <v>379</v>
      </c>
      <c r="H215" s="3"/>
    </row>
    <row r="216">
      <c r="G216" s="12" t="s">
        <v>379</v>
      </c>
      <c r="H216" s="3"/>
    </row>
    <row r="217">
      <c r="G217" s="12" t="s">
        <v>379</v>
      </c>
      <c r="H217" s="3"/>
    </row>
    <row r="218">
      <c r="G218" s="12" t="s">
        <v>379</v>
      </c>
      <c r="H218" s="3"/>
    </row>
    <row r="219">
      <c r="G219" s="12" t="s">
        <v>379</v>
      </c>
      <c r="H219" s="3"/>
    </row>
    <row r="220">
      <c r="G220" s="12" t="s">
        <v>379</v>
      </c>
      <c r="H220" s="3"/>
    </row>
    <row r="221">
      <c r="G221" s="12" t="s">
        <v>379</v>
      </c>
      <c r="H221" s="3"/>
    </row>
    <row r="222">
      <c r="G222" s="12" t="s">
        <v>379</v>
      </c>
      <c r="H222" s="3"/>
    </row>
    <row r="223">
      <c r="G223" s="12" t="s">
        <v>379</v>
      </c>
      <c r="H223" s="3"/>
    </row>
    <row r="224">
      <c r="G224" s="12" t="s">
        <v>379</v>
      </c>
      <c r="H224" s="3"/>
    </row>
    <row r="225">
      <c r="G225" s="12" t="s">
        <v>379</v>
      </c>
      <c r="H225" s="3"/>
    </row>
    <row r="226">
      <c r="G226" s="12" t="s">
        <v>379</v>
      </c>
      <c r="H226" s="3"/>
    </row>
    <row r="227">
      <c r="G227" s="12" t="s">
        <v>379</v>
      </c>
      <c r="H227" s="3"/>
    </row>
    <row r="228">
      <c r="G228" s="12" t="s">
        <v>379</v>
      </c>
      <c r="H228" s="3"/>
    </row>
    <row r="229">
      <c r="G229" s="12" t="s">
        <v>379</v>
      </c>
      <c r="H229" s="3"/>
    </row>
    <row r="230">
      <c r="G230" s="12" t="s">
        <v>379</v>
      </c>
      <c r="H230" s="3"/>
    </row>
    <row r="231">
      <c r="G231" s="12" t="s">
        <v>379</v>
      </c>
      <c r="H231" s="3"/>
    </row>
    <row r="232">
      <c r="G232" s="12" t="s">
        <v>379</v>
      </c>
      <c r="H232" s="3"/>
    </row>
    <row r="233">
      <c r="G233" s="12" t="s">
        <v>379</v>
      </c>
      <c r="H233" s="3"/>
    </row>
    <row r="234">
      <c r="G234" s="12" t="s">
        <v>379</v>
      </c>
      <c r="H234" s="3"/>
    </row>
    <row r="235">
      <c r="G235" s="12" t="s">
        <v>379</v>
      </c>
      <c r="H235" s="3"/>
    </row>
    <row r="236">
      <c r="G236" s="12" t="s">
        <v>379</v>
      </c>
      <c r="H236" s="3"/>
    </row>
    <row r="237">
      <c r="G237" s="12" t="s">
        <v>379</v>
      </c>
      <c r="H237" s="3"/>
    </row>
    <row r="238">
      <c r="G238" s="12" t="s">
        <v>379</v>
      </c>
      <c r="H238" s="3"/>
    </row>
    <row r="239">
      <c r="G239" s="12" t="s">
        <v>379</v>
      </c>
      <c r="H239" s="3"/>
    </row>
    <row r="240">
      <c r="G240" s="12" t="s">
        <v>379</v>
      </c>
      <c r="H240" s="3"/>
    </row>
    <row r="241">
      <c r="G241" s="12" t="s">
        <v>379</v>
      </c>
      <c r="H241" s="3"/>
    </row>
    <row r="242">
      <c r="G242" s="12" t="s">
        <v>379</v>
      </c>
      <c r="H242" s="3"/>
    </row>
    <row r="243">
      <c r="G243" s="12" t="s">
        <v>379</v>
      </c>
      <c r="H243" s="3"/>
    </row>
    <row r="244">
      <c r="G244" s="12" t="s">
        <v>379</v>
      </c>
      <c r="H244" s="3"/>
    </row>
    <row r="245">
      <c r="G245" s="12" t="s">
        <v>379</v>
      </c>
      <c r="H245" s="3"/>
    </row>
    <row r="246">
      <c r="G246" s="12" t="s">
        <v>379</v>
      </c>
      <c r="H246" s="3"/>
    </row>
    <row r="247">
      <c r="G247" s="12" t="s">
        <v>379</v>
      </c>
      <c r="H247" s="3"/>
    </row>
    <row r="248">
      <c r="G248" s="12" t="s">
        <v>379</v>
      </c>
      <c r="H248" s="3"/>
    </row>
    <row r="249">
      <c r="G249" s="12" t="s">
        <v>379</v>
      </c>
      <c r="H249" s="3"/>
    </row>
    <row r="250">
      <c r="G250" s="12" t="s">
        <v>379</v>
      </c>
      <c r="H250" s="3"/>
    </row>
    <row r="251">
      <c r="G251" s="12" t="s">
        <v>379</v>
      </c>
      <c r="H251" s="3"/>
    </row>
    <row r="252">
      <c r="G252" s="12" t="s">
        <v>379</v>
      </c>
      <c r="H252" s="3"/>
    </row>
    <row r="253">
      <c r="G253" s="12" t="s">
        <v>379</v>
      </c>
      <c r="H253" s="3"/>
    </row>
    <row r="254">
      <c r="G254" s="12" t="s">
        <v>379</v>
      </c>
      <c r="H254" s="3"/>
    </row>
    <row r="255">
      <c r="G255" s="12" t="s">
        <v>379</v>
      </c>
      <c r="H255" s="3"/>
    </row>
    <row r="256">
      <c r="G256" s="12" t="s">
        <v>379</v>
      </c>
      <c r="H256" s="3"/>
    </row>
    <row r="257">
      <c r="G257" s="12" t="s">
        <v>379</v>
      </c>
      <c r="H257" s="3"/>
    </row>
    <row r="258">
      <c r="G258" s="12" t="s">
        <v>379</v>
      </c>
      <c r="H258" s="3"/>
    </row>
    <row r="259">
      <c r="G259" s="12" t="s">
        <v>379</v>
      </c>
      <c r="H259" s="3"/>
    </row>
    <row r="260">
      <c r="G260" s="12" t="s">
        <v>379</v>
      </c>
      <c r="H260" s="3"/>
    </row>
    <row r="261">
      <c r="G261" s="12" t="s">
        <v>379</v>
      </c>
      <c r="H261" s="3"/>
    </row>
    <row r="262">
      <c r="G262" s="12" t="s">
        <v>379</v>
      </c>
      <c r="H262" s="3"/>
    </row>
    <row r="263">
      <c r="G263" s="12" t="s">
        <v>379</v>
      </c>
      <c r="H263" s="3"/>
    </row>
    <row r="264">
      <c r="G264" s="12" t="s">
        <v>379</v>
      </c>
      <c r="H264" s="3"/>
    </row>
    <row r="265">
      <c r="G265" s="12" t="s">
        <v>379</v>
      </c>
      <c r="H265" s="3"/>
    </row>
    <row r="266">
      <c r="G266" s="12" t="s">
        <v>379</v>
      </c>
      <c r="H266" s="3"/>
    </row>
    <row r="267">
      <c r="G267" s="12" t="s">
        <v>379</v>
      </c>
      <c r="H267" s="3"/>
    </row>
    <row r="268">
      <c r="G268" s="12" t="s">
        <v>379</v>
      </c>
      <c r="H268" s="3"/>
    </row>
    <row r="269">
      <c r="G269" s="12" t="s">
        <v>379</v>
      </c>
      <c r="H269" s="3"/>
    </row>
    <row r="270">
      <c r="G270" s="12" t="s">
        <v>379</v>
      </c>
      <c r="H270" s="3"/>
    </row>
    <row r="271">
      <c r="G271" s="12" t="s">
        <v>379</v>
      </c>
      <c r="H271" s="3"/>
    </row>
    <row r="272">
      <c r="G272" s="12" t="s">
        <v>379</v>
      </c>
      <c r="H272" s="3"/>
    </row>
    <row r="273">
      <c r="G273" s="12" t="s">
        <v>379</v>
      </c>
      <c r="H273" s="3"/>
    </row>
    <row r="274">
      <c r="G274" s="12" t="s">
        <v>379</v>
      </c>
      <c r="H274" s="3"/>
    </row>
    <row r="275">
      <c r="G275" s="12" t="s">
        <v>379</v>
      </c>
      <c r="H275" s="3"/>
    </row>
    <row r="276">
      <c r="G276" s="12" t="s">
        <v>379</v>
      </c>
      <c r="H276" s="3"/>
    </row>
    <row r="277">
      <c r="G277" s="12" t="s">
        <v>379</v>
      </c>
      <c r="H277" s="3"/>
    </row>
    <row r="278">
      <c r="G278" s="12" t="s">
        <v>379</v>
      </c>
      <c r="H278" s="3"/>
    </row>
    <row r="279">
      <c r="G279" s="12" t="s">
        <v>379</v>
      </c>
      <c r="H279" s="3"/>
    </row>
    <row r="280">
      <c r="G280" s="12" t="s">
        <v>379</v>
      </c>
      <c r="H280" s="3"/>
    </row>
    <row r="281">
      <c r="G281" s="12" t="s">
        <v>379</v>
      </c>
      <c r="H281" s="3"/>
    </row>
    <row r="282">
      <c r="G282" s="12" t="s">
        <v>379</v>
      </c>
      <c r="H282" s="3"/>
    </row>
    <row r="283">
      <c r="G283" s="12" t="s">
        <v>379</v>
      </c>
      <c r="H283" s="3"/>
    </row>
    <row r="284">
      <c r="G284" s="12" t="s">
        <v>379</v>
      </c>
      <c r="H284" s="3"/>
    </row>
    <row r="285">
      <c r="G285" s="12" t="s">
        <v>379</v>
      </c>
      <c r="H285" s="3"/>
    </row>
    <row r="286">
      <c r="G286" s="12" t="s">
        <v>379</v>
      </c>
      <c r="H286" s="3"/>
    </row>
    <row r="287">
      <c r="G287" s="12" t="s">
        <v>379</v>
      </c>
      <c r="H287" s="3"/>
    </row>
    <row r="288">
      <c r="G288" s="12" t="s">
        <v>379</v>
      </c>
      <c r="H288" s="3"/>
    </row>
    <row r="289">
      <c r="G289" s="12" t="s">
        <v>379</v>
      </c>
      <c r="H289" s="3"/>
    </row>
    <row r="290">
      <c r="G290" s="12" t="s">
        <v>379</v>
      </c>
      <c r="H290" s="3"/>
    </row>
    <row r="291">
      <c r="G291" s="12" t="s">
        <v>379</v>
      </c>
      <c r="H291" s="3"/>
    </row>
    <row r="292">
      <c r="G292" s="12" t="s">
        <v>379</v>
      </c>
      <c r="H292" s="3"/>
    </row>
    <row r="293">
      <c r="G293" s="12" t="s">
        <v>379</v>
      </c>
      <c r="H293" s="3"/>
    </row>
    <row r="294">
      <c r="G294" s="12" t="s">
        <v>379</v>
      </c>
      <c r="H294" s="3"/>
    </row>
    <row r="295">
      <c r="G295" s="12" t="s">
        <v>379</v>
      </c>
      <c r="H295" s="3"/>
    </row>
    <row r="296">
      <c r="G296" s="12" t="s">
        <v>379</v>
      </c>
      <c r="H296" s="3"/>
    </row>
    <row r="297">
      <c r="G297" s="12" t="s">
        <v>379</v>
      </c>
      <c r="H297" s="3"/>
    </row>
    <row r="298">
      <c r="G298" s="12" t="s">
        <v>379</v>
      </c>
      <c r="H298" s="3"/>
    </row>
    <row r="299">
      <c r="G299" s="12" t="s">
        <v>379</v>
      </c>
      <c r="H299" s="3"/>
    </row>
    <row r="300">
      <c r="G300" s="12" t="s">
        <v>379</v>
      </c>
      <c r="H300" s="3"/>
    </row>
    <row r="301">
      <c r="G301" s="12" t="s">
        <v>379</v>
      </c>
      <c r="H301" s="3"/>
    </row>
    <row r="302">
      <c r="G302" s="12" t="s">
        <v>379</v>
      </c>
      <c r="H302" s="3"/>
    </row>
    <row r="303">
      <c r="G303" s="12" t="s">
        <v>379</v>
      </c>
      <c r="H303" s="3"/>
    </row>
    <row r="304">
      <c r="G304" s="12" t="s">
        <v>379</v>
      </c>
      <c r="H304" s="3"/>
    </row>
    <row r="305">
      <c r="G305" s="12" t="s">
        <v>379</v>
      </c>
      <c r="H305" s="3"/>
    </row>
    <row r="306">
      <c r="G306" s="12" t="s">
        <v>379</v>
      </c>
      <c r="H306" s="3"/>
    </row>
    <row r="307">
      <c r="G307" s="12" t="s">
        <v>379</v>
      </c>
      <c r="H307" s="3"/>
    </row>
    <row r="308">
      <c r="G308" s="12" t="s">
        <v>379</v>
      </c>
      <c r="H308" s="3"/>
    </row>
    <row r="309">
      <c r="G309" s="12" t="s">
        <v>379</v>
      </c>
      <c r="H309" s="3"/>
    </row>
    <row r="310">
      <c r="G310" s="12" t="s">
        <v>379</v>
      </c>
      <c r="H310" s="3"/>
    </row>
    <row r="311">
      <c r="G311" s="12" t="s">
        <v>379</v>
      </c>
      <c r="H311" s="3"/>
    </row>
    <row r="312">
      <c r="G312" s="12" t="s">
        <v>379</v>
      </c>
      <c r="H312" s="3"/>
    </row>
    <row r="313">
      <c r="G313" s="12" t="s">
        <v>379</v>
      </c>
      <c r="H313" s="3"/>
    </row>
    <row r="314">
      <c r="G314" s="12" t="s">
        <v>379</v>
      </c>
      <c r="H314" s="3"/>
    </row>
    <row r="315">
      <c r="G315" s="12" t="s">
        <v>379</v>
      </c>
      <c r="H315" s="3"/>
    </row>
    <row r="316">
      <c r="G316" s="12" t="s">
        <v>379</v>
      </c>
      <c r="H316" s="3"/>
    </row>
    <row r="317">
      <c r="G317" s="12" t="s">
        <v>379</v>
      </c>
      <c r="H317" s="3"/>
    </row>
    <row r="318">
      <c r="G318" s="12" t="s">
        <v>379</v>
      </c>
      <c r="H318" s="3"/>
    </row>
    <row r="319">
      <c r="G319" s="12" t="s">
        <v>379</v>
      </c>
      <c r="H319" s="3"/>
    </row>
    <row r="320">
      <c r="G320" s="12" t="s">
        <v>379</v>
      </c>
      <c r="H320" s="3"/>
    </row>
    <row r="321">
      <c r="G321" s="12" t="s">
        <v>379</v>
      </c>
      <c r="H321" s="3"/>
    </row>
    <row r="322">
      <c r="G322" s="12" t="s">
        <v>379</v>
      </c>
      <c r="H322" s="3"/>
    </row>
    <row r="323">
      <c r="G323" s="12" t="s">
        <v>379</v>
      </c>
      <c r="H323" s="3"/>
    </row>
    <row r="324">
      <c r="G324" s="12" t="s">
        <v>379</v>
      </c>
      <c r="H324" s="3"/>
    </row>
    <row r="325">
      <c r="G325" s="12" t="s">
        <v>379</v>
      </c>
      <c r="H325" s="3"/>
    </row>
    <row r="326">
      <c r="G326" s="12" t="s">
        <v>379</v>
      </c>
      <c r="H326" s="3"/>
    </row>
    <row r="327">
      <c r="G327" s="12" t="s">
        <v>379</v>
      </c>
      <c r="H327" s="3"/>
    </row>
    <row r="328">
      <c r="G328" s="12" t="s">
        <v>379</v>
      </c>
      <c r="H328" s="3"/>
    </row>
    <row r="329">
      <c r="G329" s="12" t="s">
        <v>379</v>
      </c>
      <c r="H329" s="3"/>
    </row>
    <row r="330">
      <c r="G330" s="12" t="s">
        <v>379</v>
      </c>
      <c r="H330" s="3"/>
    </row>
    <row r="331">
      <c r="G331" s="12" t="s">
        <v>379</v>
      </c>
      <c r="H331" s="3"/>
    </row>
    <row r="332">
      <c r="G332" s="12" t="s">
        <v>379</v>
      </c>
      <c r="H332" s="3"/>
    </row>
    <row r="333">
      <c r="G333" s="12" t="s">
        <v>379</v>
      </c>
      <c r="H333" s="3"/>
    </row>
    <row r="334">
      <c r="G334" s="12" t="s">
        <v>379</v>
      </c>
      <c r="H334" s="3"/>
    </row>
    <row r="335">
      <c r="G335" s="12" t="s">
        <v>379</v>
      </c>
      <c r="H335" s="3"/>
    </row>
    <row r="336">
      <c r="G336" s="12" t="s">
        <v>379</v>
      </c>
      <c r="H336" s="3"/>
    </row>
    <row r="337">
      <c r="G337" s="12" t="s">
        <v>379</v>
      </c>
      <c r="H337" s="3"/>
    </row>
    <row r="338">
      <c r="G338" s="12" t="s">
        <v>379</v>
      </c>
      <c r="H338" s="3"/>
    </row>
    <row r="339">
      <c r="G339" s="12" t="s">
        <v>379</v>
      </c>
      <c r="H339" s="3"/>
    </row>
    <row r="340">
      <c r="G340" s="12" t="s">
        <v>379</v>
      </c>
      <c r="H340" s="3"/>
    </row>
    <row r="341">
      <c r="G341" s="12" t="s">
        <v>379</v>
      </c>
      <c r="H341" s="3"/>
    </row>
    <row r="342">
      <c r="G342" s="12" t="s">
        <v>379</v>
      </c>
      <c r="H342" s="3"/>
    </row>
    <row r="343">
      <c r="G343" s="12" t="s">
        <v>379</v>
      </c>
      <c r="H343" s="3"/>
    </row>
    <row r="344">
      <c r="G344" s="12" t="s">
        <v>379</v>
      </c>
      <c r="H344" s="3"/>
    </row>
    <row r="345">
      <c r="G345" s="12" t="s">
        <v>379</v>
      </c>
      <c r="H345" s="3"/>
    </row>
    <row r="346">
      <c r="G346" s="12" t="s">
        <v>379</v>
      </c>
      <c r="H346" s="3"/>
    </row>
    <row r="347">
      <c r="G347" s="12" t="s">
        <v>379</v>
      </c>
      <c r="H347" s="3"/>
    </row>
    <row r="348">
      <c r="G348" s="12" t="s">
        <v>379</v>
      </c>
      <c r="H348" s="3"/>
    </row>
    <row r="349">
      <c r="G349" s="12" t="s">
        <v>379</v>
      </c>
      <c r="H349" s="3"/>
    </row>
    <row r="350">
      <c r="G350" s="12" t="s">
        <v>379</v>
      </c>
      <c r="H350" s="3"/>
    </row>
    <row r="351">
      <c r="G351" s="12" t="s">
        <v>379</v>
      </c>
      <c r="H351" s="3"/>
    </row>
    <row r="352">
      <c r="G352" s="12" t="s">
        <v>379</v>
      </c>
      <c r="H352" s="3"/>
    </row>
    <row r="353">
      <c r="G353" s="12" t="s">
        <v>379</v>
      </c>
      <c r="H353" s="3"/>
    </row>
    <row r="354">
      <c r="G354" s="12" t="s">
        <v>379</v>
      </c>
      <c r="H354" s="3"/>
    </row>
    <row r="355">
      <c r="G355" s="12" t="s">
        <v>379</v>
      </c>
      <c r="H355" s="3"/>
    </row>
    <row r="356">
      <c r="G356" s="12" t="s">
        <v>379</v>
      </c>
      <c r="H356" s="3"/>
    </row>
    <row r="357">
      <c r="G357" s="12" t="s">
        <v>379</v>
      </c>
      <c r="H357" s="3"/>
    </row>
    <row r="358">
      <c r="G358" s="12" t="s">
        <v>379</v>
      </c>
      <c r="H358" s="3"/>
    </row>
    <row r="359">
      <c r="G359" s="12" t="s">
        <v>379</v>
      </c>
      <c r="H359" s="3"/>
    </row>
    <row r="360">
      <c r="G360" s="12" t="s">
        <v>379</v>
      </c>
      <c r="H360" s="3"/>
    </row>
    <row r="361">
      <c r="G361" s="12" t="s">
        <v>379</v>
      </c>
      <c r="H361" s="3"/>
    </row>
    <row r="362">
      <c r="G362" s="12" t="s">
        <v>379</v>
      </c>
      <c r="H362" s="3"/>
    </row>
    <row r="363">
      <c r="G363" s="12" t="s">
        <v>379</v>
      </c>
      <c r="H363" s="3"/>
    </row>
    <row r="364">
      <c r="G364" s="12" t="s">
        <v>379</v>
      </c>
      <c r="H364" s="3"/>
    </row>
    <row r="365">
      <c r="G365" s="12" t="s">
        <v>379</v>
      </c>
      <c r="H365" s="3"/>
    </row>
    <row r="366">
      <c r="G366" s="12" t="s">
        <v>379</v>
      </c>
      <c r="H366" s="3"/>
    </row>
    <row r="367">
      <c r="G367" s="12" t="s">
        <v>379</v>
      </c>
      <c r="H367" s="3"/>
    </row>
    <row r="368">
      <c r="G368" s="12" t="s">
        <v>379</v>
      </c>
      <c r="H368" s="3"/>
    </row>
    <row r="369">
      <c r="G369" s="12" t="s">
        <v>379</v>
      </c>
      <c r="H369" s="3"/>
    </row>
    <row r="370">
      <c r="G370" s="12" t="s">
        <v>379</v>
      </c>
      <c r="H370" s="3"/>
    </row>
    <row r="371">
      <c r="G371" s="12" t="s">
        <v>379</v>
      </c>
      <c r="H371" s="3"/>
    </row>
    <row r="372">
      <c r="G372" s="12" t="s">
        <v>379</v>
      </c>
      <c r="H372" s="3"/>
    </row>
    <row r="373">
      <c r="G373" s="12" t="s">
        <v>379</v>
      </c>
      <c r="H373" s="3"/>
    </row>
    <row r="374">
      <c r="G374" s="12" t="s">
        <v>379</v>
      </c>
      <c r="H374" s="3"/>
    </row>
    <row r="375">
      <c r="G375" s="12" t="s">
        <v>379</v>
      </c>
      <c r="H375" s="3"/>
    </row>
    <row r="376">
      <c r="G376" s="12" t="s">
        <v>379</v>
      </c>
      <c r="H376" s="3"/>
    </row>
    <row r="377">
      <c r="G377" s="12" t="s">
        <v>379</v>
      </c>
      <c r="H377" s="3"/>
    </row>
    <row r="378">
      <c r="G378" s="12" t="s">
        <v>379</v>
      </c>
      <c r="H378" s="3"/>
    </row>
    <row r="379">
      <c r="G379" s="12" t="s">
        <v>379</v>
      </c>
      <c r="H379" s="3"/>
    </row>
    <row r="380">
      <c r="G380" s="12" t="s">
        <v>379</v>
      </c>
      <c r="H380" s="3"/>
    </row>
    <row r="381">
      <c r="G381" s="12" t="s">
        <v>379</v>
      </c>
      <c r="H381" s="3"/>
    </row>
    <row r="382">
      <c r="G382" s="12" t="s">
        <v>379</v>
      </c>
      <c r="H382" s="3"/>
    </row>
    <row r="383">
      <c r="G383" s="12" t="s">
        <v>379</v>
      </c>
      <c r="H383" s="3"/>
    </row>
    <row r="384">
      <c r="G384" s="12" t="s">
        <v>379</v>
      </c>
      <c r="H384" s="3"/>
    </row>
    <row r="385">
      <c r="G385" s="12" t="s">
        <v>379</v>
      </c>
      <c r="H385" s="3"/>
    </row>
    <row r="386">
      <c r="G386" s="12" t="s">
        <v>379</v>
      </c>
      <c r="H386" s="3"/>
    </row>
    <row r="387">
      <c r="G387" s="12" t="s">
        <v>379</v>
      </c>
      <c r="H387" s="3"/>
    </row>
    <row r="388">
      <c r="G388" s="12" t="s">
        <v>379</v>
      </c>
      <c r="H388" s="3"/>
    </row>
    <row r="389">
      <c r="G389" s="12" t="s">
        <v>379</v>
      </c>
      <c r="H389" s="3"/>
    </row>
    <row r="390">
      <c r="G390" s="12" t="s">
        <v>379</v>
      </c>
      <c r="H390" s="3"/>
    </row>
    <row r="391">
      <c r="G391" s="12" t="s">
        <v>379</v>
      </c>
      <c r="H391" s="3"/>
    </row>
    <row r="392">
      <c r="G392" s="12" t="s">
        <v>379</v>
      </c>
      <c r="H392" s="3"/>
    </row>
    <row r="393">
      <c r="G393" s="12" t="s">
        <v>379</v>
      </c>
      <c r="H393" s="3"/>
    </row>
    <row r="394">
      <c r="G394" s="12" t="s">
        <v>379</v>
      </c>
      <c r="H394" s="3"/>
    </row>
    <row r="395">
      <c r="G395" s="12" t="s">
        <v>379</v>
      </c>
      <c r="H395" s="3"/>
    </row>
    <row r="396">
      <c r="G396" s="12" t="s">
        <v>379</v>
      </c>
      <c r="H396" s="3"/>
    </row>
    <row r="397">
      <c r="G397" s="12" t="s">
        <v>379</v>
      </c>
      <c r="H397" s="3"/>
    </row>
    <row r="398">
      <c r="G398" s="12" t="s">
        <v>379</v>
      </c>
      <c r="H398" s="3"/>
    </row>
    <row r="399">
      <c r="G399" s="12" t="s">
        <v>379</v>
      </c>
      <c r="H399" s="3"/>
    </row>
    <row r="400">
      <c r="G400" s="12" t="s">
        <v>379</v>
      </c>
      <c r="H400" s="3"/>
    </row>
    <row r="401">
      <c r="G401" s="12" t="s">
        <v>379</v>
      </c>
      <c r="H401" s="3"/>
    </row>
    <row r="402">
      <c r="G402" s="12" t="s">
        <v>379</v>
      </c>
      <c r="H402" s="3"/>
    </row>
    <row r="403">
      <c r="G403" s="12" t="s">
        <v>379</v>
      </c>
      <c r="H403" s="3"/>
    </row>
    <row r="404">
      <c r="G404" s="12" t="s">
        <v>379</v>
      </c>
      <c r="H404" s="3"/>
    </row>
    <row r="405">
      <c r="G405" s="12" t="s">
        <v>379</v>
      </c>
      <c r="H405" s="3"/>
    </row>
    <row r="406">
      <c r="G406" s="12" t="s">
        <v>379</v>
      </c>
      <c r="H406" s="3"/>
    </row>
    <row r="407">
      <c r="G407" s="12" t="s">
        <v>379</v>
      </c>
      <c r="H407" s="3"/>
    </row>
    <row r="408">
      <c r="G408" s="12" t="s">
        <v>379</v>
      </c>
      <c r="H408" s="3"/>
    </row>
    <row r="409">
      <c r="G409" s="12" t="s">
        <v>379</v>
      </c>
      <c r="H409" s="3"/>
    </row>
    <row r="410">
      <c r="G410" s="12" t="s">
        <v>379</v>
      </c>
      <c r="H410" s="3"/>
    </row>
    <row r="411">
      <c r="G411" s="12" t="s">
        <v>379</v>
      </c>
      <c r="H411" s="3"/>
    </row>
    <row r="412">
      <c r="G412" s="12" t="s">
        <v>379</v>
      </c>
      <c r="H412" s="3"/>
    </row>
    <row r="413">
      <c r="G413" s="12" t="s">
        <v>379</v>
      </c>
      <c r="H413" s="3"/>
    </row>
    <row r="414">
      <c r="G414" s="12" t="s">
        <v>379</v>
      </c>
      <c r="H414" s="3"/>
    </row>
    <row r="415">
      <c r="G415" s="12" t="s">
        <v>379</v>
      </c>
      <c r="H415" s="3"/>
    </row>
    <row r="416">
      <c r="G416" s="12" t="s">
        <v>379</v>
      </c>
      <c r="H416" s="3"/>
    </row>
    <row r="417">
      <c r="G417" s="12" t="s">
        <v>379</v>
      </c>
      <c r="H417" s="3"/>
    </row>
    <row r="418">
      <c r="G418" s="12" t="s">
        <v>379</v>
      </c>
      <c r="H418" s="3"/>
    </row>
    <row r="419">
      <c r="G419" s="12" t="s">
        <v>379</v>
      </c>
      <c r="H419" s="3"/>
    </row>
    <row r="420">
      <c r="G420" s="12" t="s">
        <v>379</v>
      </c>
      <c r="H420" s="3"/>
    </row>
    <row r="421">
      <c r="G421" s="12" t="s">
        <v>379</v>
      </c>
      <c r="H421" s="3"/>
    </row>
    <row r="422">
      <c r="G422" s="12" t="s">
        <v>379</v>
      </c>
      <c r="H422" s="3"/>
    </row>
    <row r="423">
      <c r="G423" s="12" t="s">
        <v>379</v>
      </c>
      <c r="H423" s="3"/>
    </row>
    <row r="424">
      <c r="G424" s="12" t="s">
        <v>379</v>
      </c>
      <c r="H424" s="3"/>
    </row>
    <row r="425">
      <c r="G425" s="12" t="s">
        <v>379</v>
      </c>
      <c r="H425" s="3"/>
    </row>
    <row r="426">
      <c r="G426" s="12" t="s">
        <v>379</v>
      </c>
      <c r="H426" s="3"/>
    </row>
    <row r="427">
      <c r="G427" s="12" t="s">
        <v>379</v>
      </c>
      <c r="H427" s="3"/>
    </row>
    <row r="428">
      <c r="G428" s="12" t="s">
        <v>379</v>
      </c>
      <c r="H428" s="3"/>
    </row>
    <row r="429">
      <c r="G429" s="12" t="s">
        <v>379</v>
      </c>
      <c r="H429" s="3"/>
    </row>
    <row r="430">
      <c r="G430" s="12" t="s">
        <v>379</v>
      </c>
      <c r="H430" s="3"/>
    </row>
    <row r="431">
      <c r="G431" s="12" t="s">
        <v>379</v>
      </c>
      <c r="H431" s="3"/>
    </row>
    <row r="432">
      <c r="G432" s="12" t="s">
        <v>379</v>
      </c>
      <c r="H432" s="3"/>
    </row>
    <row r="433">
      <c r="G433" s="12" t="s">
        <v>379</v>
      </c>
      <c r="H433" s="3"/>
    </row>
    <row r="434">
      <c r="G434" s="12" t="s">
        <v>379</v>
      </c>
      <c r="H434" s="3"/>
    </row>
    <row r="435">
      <c r="G435" s="12" t="s">
        <v>379</v>
      </c>
      <c r="H435" s="3"/>
    </row>
    <row r="436">
      <c r="G436" s="12" t="s">
        <v>379</v>
      </c>
      <c r="H436" s="3"/>
    </row>
    <row r="437">
      <c r="G437" s="12" t="s">
        <v>379</v>
      </c>
      <c r="H437" s="3"/>
    </row>
    <row r="438">
      <c r="G438" s="12" t="s">
        <v>379</v>
      </c>
      <c r="H438" s="3"/>
    </row>
    <row r="439">
      <c r="G439" s="12" t="s">
        <v>379</v>
      </c>
      <c r="H439" s="3"/>
    </row>
    <row r="440">
      <c r="G440" s="12" t="s">
        <v>379</v>
      </c>
      <c r="H440" s="3"/>
    </row>
    <row r="441">
      <c r="G441" s="12" t="s">
        <v>379</v>
      </c>
      <c r="H441" s="3"/>
    </row>
    <row r="442">
      <c r="G442" s="12" t="s">
        <v>379</v>
      </c>
      <c r="H442" s="3"/>
    </row>
    <row r="443">
      <c r="G443" s="12" t="s">
        <v>379</v>
      </c>
      <c r="H443" s="3"/>
    </row>
    <row r="444">
      <c r="G444" s="12" t="s">
        <v>379</v>
      </c>
      <c r="H444" s="3"/>
    </row>
    <row r="445">
      <c r="G445" s="12" t="s">
        <v>379</v>
      </c>
      <c r="H445" s="3"/>
    </row>
    <row r="446">
      <c r="G446" s="12" t="s">
        <v>379</v>
      </c>
      <c r="H446" s="3"/>
    </row>
    <row r="447">
      <c r="G447" s="12" t="s">
        <v>379</v>
      </c>
      <c r="H447" s="3"/>
    </row>
    <row r="448">
      <c r="G448" s="12" t="s">
        <v>379</v>
      </c>
      <c r="H448" s="3"/>
    </row>
    <row r="449">
      <c r="G449" s="12" t="s">
        <v>379</v>
      </c>
      <c r="H449" s="3"/>
    </row>
    <row r="450">
      <c r="G450" s="12" t="s">
        <v>379</v>
      </c>
      <c r="H450" s="3"/>
    </row>
    <row r="451">
      <c r="G451" s="12" t="s">
        <v>379</v>
      </c>
      <c r="H451" s="3"/>
    </row>
    <row r="452">
      <c r="G452" s="12" t="s">
        <v>379</v>
      </c>
      <c r="H452" s="3"/>
    </row>
    <row r="453">
      <c r="G453" s="12" t="s">
        <v>379</v>
      </c>
      <c r="H453" s="3"/>
    </row>
    <row r="454">
      <c r="G454" s="12" t="s">
        <v>379</v>
      </c>
      <c r="H454" s="3"/>
    </row>
    <row r="455">
      <c r="G455" s="12" t="s">
        <v>379</v>
      </c>
      <c r="H455" s="3"/>
    </row>
    <row r="456">
      <c r="G456" s="12" t="s">
        <v>379</v>
      </c>
      <c r="H456" s="3"/>
    </row>
    <row r="457">
      <c r="G457" s="12" t="s">
        <v>379</v>
      </c>
      <c r="H457" s="3"/>
    </row>
    <row r="458">
      <c r="G458" s="12" t="s">
        <v>379</v>
      </c>
      <c r="H458" s="3"/>
    </row>
    <row r="459">
      <c r="G459" s="12" t="s">
        <v>379</v>
      </c>
      <c r="H459" s="3"/>
    </row>
    <row r="460">
      <c r="G460" s="12" t="s">
        <v>379</v>
      </c>
      <c r="H460" s="3"/>
    </row>
    <row r="461">
      <c r="G461" s="12" t="s">
        <v>379</v>
      </c>
      <c r="H461" s="3"/>
    </row>
    <row r="462">
      <c r="G462" s="12" t="s">
        <v>379</v>
      </c>
      <c r="H462" s="3"/>
    </row>
    <row r="463">
      <c r="G463" s="12" t="s">
        <v>379</v>
      </c>
      <c r="H463" s="3"/>
    </row>
    <row r="464">
      <c r="G464" s="12" t="s">
        <v>379</v>
      </c>
      <c r="H464" s="3"/>
    </row>
    <row r="465">
      <c r="G465" s="12" t="s">
        <v>379</v>
      </c>
      <c r="H465" s="3"/>
    </row>
    <row r="466">
      <c r="G466" s="12" t="s">
        <v>379</v>
      </c>
      <c r="H466" s="3"/>
    </row>
    <row r="467">
      <c r="G467" s="12" t="s">
        <v>379</v>
      </c>
      <c r="H467" s="3"/>
    </row>
    <row r="468">
      <c r="G468" s="12" t="s">
        <v>379</v>
      </c>
      <c r="H468" s="3"/>
    </row>
    <row r="469">
      <c r="G469" s="12" t="s">
        <v>379</v>
      </c>
      <c r="H469" s="3"/>
    </row>
    <row r="470">
      <c r="G470" s="12" t="s">
        <v>379</v>
      </c>
      <c r="H470" s="3"/>
    </row>
    <row r="471">
      <c r="G471" s="12" t="s">
        <v>379</v>
      </c>
      <c r="H471" s="3"/>
    </row>
    <row r="472">
      <c r="G472" s="12" t="s">
        <v>379</v>
      </c>
      <c r="H472" s="3"/>
    </row>
    <row r="473">
      <c r="G473" s="12" t="s">
        <v>379</v>
      </c>
      <c r="H473" s="3"/>
    </row>
    <row r="474">
      <c r="G474" s="12" t="s">
        <v>379</v>
      </c>
      <c r="H474" s="3"/>
    </row>
    <row r="475">
      <c r="G475" s="12" t="s">
        <v>379</v>
      </c>
      <c r="H475" s="3"/>
    </row>
    <row r="476">
      <c r="G476" s="12" t="s">
        <v>379</v>
      </c>
      <c r="H476" s="3"/>
    </row>
    <row r="477">
      <c r="G477" s="12" t="s">
        <v>379</v>
      </c>
      <c r="H477" s="3"/>
    </row>
    <row r="478">
      <c r="G478" s="12" t="s">
        <v>379</v>
      </c>
      <c r="H478" s="3"/>
    </row>
    <row r="479">
      <c r="G479" s="12" t="s">
        <v>379</v>
      </c>
      <c r="H479" s="3"/>
    </row>
    <row r="480">
      <c r="G480" s="12" t="s">
        <v>379</v>
      </c>
      <c r="H480" s="3"/>
    </row>
    <row r="481">
      <c r="G481" s="12" t="s">
        <v>379</v>
      </c>
      <c r="H481" s="3"/>
    </row>
    <row r="482">
      <c r="G482" s="12" t="s">
        <v>379</v>
      </c>
      <c r="H482" s="3"/>
    </row>
    <row r="483">
      <c r="G483" s="12" t="s">
        <v>379</v>
      </c>
      <c r="H483" s="3"/>
    </row>
    <row r="484">
      <c r="G484" s="12" t="s">
        <v>379</v>
      </c>
      <c r="H484" s="3"/>
    </row>
    <row r="485">
      <c r="G485" s="12" t="s">
        <v>379</v>
      </c>
      <c r="H485" s="3"/>
    </row>
    <row r="486">
      <c r="G486" s="12" t="s">
        <v>379</v>
      </c>
      <c r="H486" s="3"/>
    </row>
    <row r="487">
      <c r="G487" s="12" t="s">
        <v>379</v>
      </c>
      <c r="H487" s="3"/>
    </row>
    <row r="488">
      <c r="G488" s="12" t="s">
        <v>379</v>
      </c>
      <c r="H488" s="3"/>
    </row>
    <row r="489">
      <c r="G489" s="12" t="s">
        <v>379</v>
      </c>
      <c r="H489" s="3"/>
    </row>
    <row r="490">
      <c r="G490" s="12" t="s">
        <v>379</v>
      </c>
      <c r="H490" s="3"/>
    </row>
    <row r="491">
      <c r="G491" s="12" t="s">
        <v>379</v>
      </c>
      <c r="H491" s="3"/>
    </row>
    <row r="492">
      <c r="G492" s="12" t="s">
        <v>379</v>
      </c>
      <c r="H492" s="3"/>
    </row>
    <row r="493">
      <c r="G493" s="12" t="s">
        <v>379</v>
      </c>
      <c r="H493" s="3"/>
    </row>
    <row r="494">
      <c r="G494" s="12" t="s">
        <v>379</v>
      </c>
      <c r="H494" s="3"/>
    </row>
    <row r="495">
      <c r="G495" s="12" t="s">
        <v>379</v>
      </c>
      <c r="H495" s="3"/>
    </row>
    <row r="496">
      <c r="G496" s="12" t="s">
        <v>379</v>
      </c>
      <c r="H496" s="3"/>
    </row>
    <row r="497">
      <c r="G497" s="12" t="s">
        <v>379</v>
      </c>
      <c r="H497" s="3"/>
    </row>
    <row r="498">
      <c r="G498" s="12" t="s">
        <v>379</v>
      </c>
      <c r="H498" s="3"/>
    </row>
    <row r="499">
      <c r="G499" s="12" t="s">
        <v>379</v>
      </c>
      <c r="H499" s="3"/>
    </row>
    <row r="500">
      <c r="G500" s="12" t="s">
        <v>379</v>
      </c>
      <c r="H500" s="3"/>
    </row>
    <row r="501">
      <c r="G501" s="12" t="s">
        <v>379</v>
      </c>
      <c r="H501" s="3"/>
    </row>
    <row r="502">
      <c r="G502" s="12" t="s">
        <v>379</v>
      </c>
      <c r="H502" s="3"/>
    </row>
    <row r="503">
      <c r="G503" s="12" t="s">
        <v>379</v>
      </c>
      <c r="H503" s="3"/>
    </row>
    <row r="504">
      <c r="G504" s="12" t="s">
        <v>379</v>
      </c>
      <c r="H504" s="3"/>
    </row>
    <row r="505">
      <c r="G505" s="12" t="s">
        <v>379</v>
      </c>
      <c r="H505" s="3"/>
    </row>
    <row r="506">
      <c r="G506" s="12" t="s">
        <v>379</v>
      </c>
      <c r="H506" s="3"/>
    </row>
    <row r="507">
      <c r="G507" s="12" t="s">
        <v>379</v>
      </c>
      <c r="H507" s="3"/>
    </row>
    <row r="508">
      <c r="G508" s="12" t="s">
        <v>379</v>
      </c>
      <c r="H508" s="3"/>
    </row>
    <row r="509">
      <c r="G509" s="12" t="s">
        <v>379</v>
      </c>
      <c r="H509" s="3"/>
    </row>
    <row r="510">
      <c r="G510" s="12" t="s">
        <v>379</v>
      </c>
      <c r="H510" s="3"/>
    </row>
    <row r="511">
      <c r="G511" s="12" t="s">
        <v>379</v>
      </c>
      <c r="H511" s="3"/>
    </row>
    <row r="512">
      <c r="G512" s="12" t="s">
        <v>379</v>
      </c>
      <c r="H512" s="3"/>
    </row>
    <row r="513">
      <c r="G513" s="12" t="s">
        <v>379</v>
      </c>
      <c r="H513" s="3"/>
    </row>
    <row r="514">
      <c r="G514" s="12" t="s">
        <v>379</v>
      </c>
      <c r="H514" s="3"/>
    </row>
    <row r="515">
      <c r="G515" s="12" t="s">
        <v>379</v>
      </c>
      <c r="H515" s="3"/>
    </row>
    <row r="516">
      <c r="G516" s="12" t="s">
        <v>379</v>
      </c>
      <c r="H516" s="3"/>
    </row>
    <row r="517">
      <c r="G517" s="12" t="s">
        <v>379</v>
      </c>
      <c r="H517" s="3"/>
    </row>
    <row r="518">
      <c r="G518" s="12" t="s">
        <v>379</v>
      </c>
      <c r="H518" s="3"/>
    </row>
    <row r="519">
      <c r="G519" s="12" t="s">
        <v>379</v>
      </c>
      <c r="H519" s="3"/>
    </row>
    <row r="520">
      <c r="G520" s="12" t="s">
        <v>379</v>
      </c>
      <c r="H520" s="3"/>
    </row>
    <row r="521">
      <c r="G521" s="12" t="s">
        <v>379</v>
      </c>
      <c r="H521" s="3"/>
    </row>
    <row r="522">
      <c r="G522" s="12" t="s">
        <v>379</v>
      </c>
      <c r="H522" s="3"/>
    </row>
    <row r="523">
      <c r="G523" s="12" t="s">
        <v>379</v>
      </c>
      <c r="H523" s="3"/>
    </row>
    <row r="524">
      <c r="G524" s="12" t="s">
        <v>379</v>
      </c>
      <c r="H524" s="3"/>
    </row>
    <row r="525">
      <c r="G525" s="12" t="s">
        <v>379</v>
      </c>
      <c r="H525" s="3"/>
    </row>
    <row r="526">
      <c r="G526" s="12" t="s">
        <v>379</v>
      </c>
      <c r="H526" s="3"/>
    </row>
    <row r="527">
      <c r="G527" s="12" t="s">
        <v>379</v>
      </c>
      <c r="H527" s="3"/>
    </row>
    <row r="528">
      <c r="G528" s="12" t="s">
        <v>379</v>
      </c>
      <c r="H528" s="3"/>
    </row>
    <row r="529">
      <c r="G529" s="12" t="s">
        <v>379</v>
      </c>
      <c r="H529" s="3"/>
    </row>
    <row r="530">
      <c r="G530" s="12" t="s">
        <v>379</v>
      </c>
      <c r="H530" s="3"/>
    </row>
    <row r="531">
      <c r="G531" s="12" t="s">
        <v>379</v>
      </c>
      <c r="H531" s="3"/>
    </row>
    <row r="532">
      <c r="G532" s="12" t="s">
        <v>379</v>
      </c>
      <c r="H532" s="3"/>
    </row>
    <row r="533">
      <c r="G533" s="12" t="s">
        <v>379</v>
      </c>
      <c r="H533" s="3"/>
    </row>
    <row r="534">
      <c r="G534" s="12" t="s">
        <v>379</v>
      </c>
      <c r="H534" s="3"/>
    </row>
    <row r="535">
      <c r="G535" s="12" t="s">
        <v>379</v>
      </c>
      <c r="H535" s="3"/>
    </row>
    <row r="536">
      <c r="G536" s="12" t="s">
        <v>379</v>
      </c>
      <c r="H536" s="3"/>
    </row>
    <row r="537">
      <c r="G537" s="12" t="s">
        <v>379</v>
      </c>
      <c r="H537" s="3"/>
    </row>
    <row r="538">
      <c r="G538" s="12" t="s">
        <v>379</v>
      </c>
      <c r="H538" s="3"/>
    </row>
    <row r="539">
      <c r="G539" s="12" t="s">
        <v>379</v>
      </c>
      <c r="H539" s="3"/>
    </row>
    <row r="540">
      <c r="G540" s="12" t="s">
        <v>379</v>
      </c>
      <c r="H540" s="3"/>
    </row>
    <row r="541">
      <c r="G541" s="12" t="s">
        <v>379</v>
      </c>
      <c r="H541" s="3"/>
    </row>
    <row r="542">
      <c r="G542" s="12" t="s">
        <v>379</v>
      </c>
      <c r="H542" s="3"/>
    </row>
    <row r="543">
      <c r="G543" s="12" t="s">
        <v>379</v>
      </c>
      <c r="H543" s="3"/>
    </row>
    <row r="544">
      <c r="G544" s="12" t="s">
        <v>379</v>
      </c>
      <c r="H544" s="3"/>
    </row>
    <row r="545">
      <c r="G545" s="12" t="s">
        <v>379</v>
      </c>
      <c r="H545" s="3"/>
    </row>
    <row r="546">
      <c r="G546" s="12" t="s">
        <v>379</v>
      </c>
      <c r="H546" s="3"/>
    </row>
    <row r="547">
      <c r="G547" s="12" t="s">
        <v>379</v>
      </c>
      <c r="H547" s="3"/>
    </row>
    <row r="548">
      <c r="G548" s="12" t="s">
        <v>379</v>
      </c>
      <c r="H548" s="3"/>
    </row>
    <row r="549">
      <c r="G549" s="12" t="s">
        <v>379</v>
      </c>
      <c r="H549" s="3"/>
    </row>
    <row r="550">
      <c r="G550" s="12" t="s">
        <v>379</v>
      </c>
      <c r="H550" s="3"/>
    </row>
    <row r="551">
      <c r="G551" s="12" t="s">
        <v>379</v>
      </c>
      <c r="H551" s="3"/>
    </row>
    <row r="552">
      <c r="G552" s="12" t="s">
        <v>379</v>
      </c>
      <c r="H552" s="3"/>
    </row>
    <row r="553">
      <c r="G553" s="12" t="s">
        <v>379</v>
      </c>
      <c r="H553" s="3"/>
    </row>
    <row r="554">
      <c r="G554" s="12" t="s">
        <v>379</v>
      </c>
      <c r="H554" s="3"/>
    </row>
    <row r="555">
      <c r="G555" s="12" t="s">
        <v>379</v>
      </c>
      <c r="H555" s="3"/>
    </row>
    <row r="556">
      <c r="G556" s="12" t="s">
        <v>379</v>
      </c>
      <c r="H556" s="3"/>
    </row>
    <row r="557">
      <c r="G557" s="12" t="s">
        <v>379</v>
      </c>
      <c r="H557" s="3"/>
    </row>
    <row r="558">
      <c r="G558" s="12" t="s">
        <v>379</v>
      </c>
      <c r="H558" s="3"/>
    </row>
    <row r="559">
      <c r="G559" s="12" t="s">
        <v>379</v>
      </c>
      <c r="H559" s="3"/>
    </row>
    <row r="560">
      <c r="G560" s="12" t="s">
        <v>379</v>
      </c>
      <c r="H560" s="3"/>
    </row>
    <row r="561">
      <c r="G561" s="12" t="s">
        <v>379</v>
      </c>
      <c r="H561" s="3"/>
    </row>
    <row r="562">
      <c r="G562" s="12" t="s">
        <v>379</v>
      </c>
      <c r="H562" s="3"/>
    </row>
    <row r="563">
      <c r="G563" s="12" t="s">
        <v>379</v>
      </c>
      <c r="H563" s="3"/>
    </row>
    <row r="564">
      <c r="G564" s="12" t="s">
        <v>379</v>
      </c>
      <c r="H564" s="3"/>
    </row>
    <row r="565">
      <c r="G565" s="12" t="s">
        <v>379</v>
      </c>
      <c r="H565" s="3"/>
    </row>
    <row r="566">
      <c r="G566" s="12" t="s">
        <v>379</v>
      </c>
      <c r="H566" s="3"/>
    </row>
    <row r="567">
      <c r="G567" s="12" t="s">
        <v>379</v>
      </c>
      <c r="H567" s="3"/>
    </row>
    <row r="568">
      <c r="G568" s="12" t="s">
        <v>379</v>
      </c>
      <c r="H568" s="3"/>
    </row>
    <row r="569">
      <c r="G569" s="12" t="s">
        <v>379</v>
      </c>
      <c r="H569" s="3"/>
    </row>
    <row r="570">
      <c r="G570" s="12" t="s">
        <v>379</v>
      </c>
      <c r="H570" s="3"/>
    </row>
    <row r="571">
      <c r="G571" s="12" t="s">
        <v>379</v>
      </c>
      <c r="H571" s="3"/>
    </row>
    <row r="572">
      <c r="G572" s="12" t="s">
        <v>379</v>
      </c>
      <c r="H572" s="3"/>
    </row>
    <row r="573">
      <c r="G573" s="12" t="s">
        <v>379</v>
      </c>
      <c r="H573" s="3"/>
    </row>
    <row r="574">
      <c r="G574" s="12" t="s">
        <v>379</v>
      </c>
      <c r="H574" s="3"/>
    </row>
    <row r="575">
      <c r="G575" s="12" t="s">
        <v>379</v>
      </c>
      <c r="H575" s="3"/>
    </row>
    <row r="576">
      <c r="G576" s="12" t="s">
        <v>379</v>
      </c>
      <c r="H576" s="3"/>
    </row>
    <row r="577">
      <c r="G577" s="12" t="s">
        <v>379</v>
      </c>
      <c r="H577" s="3"/>
    </row>
    <row r="578">
      <c r="G578" s="12" t="s">
        <v>379</v>
      </c>
      <c r="H578" s="3"/>
    </row>
    <row r="579">
      <c r="G579" s="12" t="s">
        <v>379</v>
      </c>
      <c r="H579" s="3"/>
    </row>
    <row r="580">
      <c r="G580" s="12" t="s">
        <v>379</v>
      </c>
      <c r="H580" s="3"/>
    </row>
    <row r="581">
      <c r="G581" s="12" t="s">
        <v>379</v>
      </c>
      <c r="H581" s="3"/>
    </row>
    <row r="582">
      <c r="G582" s="12" t="s">
        <v>379</v>
      </c>
      <c r="H582" s="3"/>
    </row>
    <row r="583">
      <c r="G583" s="12" t="s">
        <v>379</v>
      </c>
      <c r="H583" s="3"/>
    </row>
    <row r="584">
      <c r="G584" s="12" t="s">
        <v>379</v>
      </c>
      <c r="H584" s="3"/>
    </row>
    <row r="585">
      <c r="G585" s="12" t="s">
        <v>379</v>
      </c>
      <c r="H585" s="3"/>
    </row>
    <row r="586">
      <c r="G586" s="12" t="s">
        <v>379</v>
      </c>
      <c r="H586" s="3"/>
    </row>
    <row r="587">
      <c r="G587" s="12" t="s">
        <v>379</v>
      </c>
      <c r="H587" s="3"/>
    </row>
    <row r="588">
      <c r="G588" s="12" t="s">
        <v>379</v>
      </c>
      <c r="H588" s="3"/>
    </row>
    <row r="589">
      <c r="G589" s="12" t="s">
        <v>379</v>
      </c>
      <c r="H589" s="3"/>
    </row>
    <row r="590">
      <c r="G590" s="12" t="s">
        <v>379</v>
      </c>
      <c r="H590" s="3"/>
    </row>
    <row r="591">
      <c r="G591" s="12" t="s">
        <v>379</v>
      </c>
      <c r="H591" s="3"/>
    </row>
    <row r="592">
      <c r="G592" s="12" t="s">
        <v>379</v>
      </c>
      <c r="H592" s="3"/>
    </row>
    <row r="593">
      <c r="G593" s="12" t="s">
        <v>379</v>
      </c>
      <c r="H593" s="3"/>
    </row>
    <row r="594">
      <c r="G594" s="12" t="s">
        <v>379</v>
      </c>
      <c r="H594" s="3"/>
    </row>
    <row r="595">
      <c r="G595" s="12" t="s">
        <v>379</v>
      </c>
      <c r="H595" s="3"/>
    </row>
    <row r="596">
      <c r="G596" s="12" t="s">
        <v>379</v>
      </c>
      <c r="H596" s="3"/>
    </row>
    <row r="597">
      <c r="G597" s="12" t="s">
        <v>379</v>
      </c>
      <c r="H597" s="3"/>
    </row>
    <row r="598">
      <c r="G598" s="12" t="s">
        <v>379</v>
      </c>
      <c r="H598" s="3"/>
    </row>
    <row r="599">
      <c r="G599" s="12" t="s">
        <v>379</v>
      </c>
      <c r="H599" s="3"/>
    </row>
    <row r="600">
      <c r="G600" s="12" t="s">
        <v>379</v>
      </c>
      <c r="H600" s="3"/>
    </row>
    <row r="601">
      <c r="G601" s="12" t="s">
        <v>379</v>
      </c>
      <c r="H601" s="3"/>
    </row>
    <row r="602">
      <c r="G602" s="12" t="s">
        <v>379</v>
      </c>
      <c r="H602" s="3"/>
    </row>
    <row r="603">
      <c r="G603" s="12" t="s">
        <v>379</v>
      </c>
      <c r="H603" s="3"/>
    </row>
    <row r="604">
      <c r="G604" s="12" t="s">
        <v>379</v>
      </c>
      <c r="H604" s="3"/>
    </row>
    <row r="605">
      <c r="G605" s="12" t="s">
        <v>379</v>
      </c>
      <c r="H605" s="3"/>
    </row>
    <row r="606">
      <c r="G606" s="12" t="s">
        <v>379</v>
      </c>
      <c r="H606" s="3"/>
    </row>
    <row r="607">
      <c r="G607" s="12" t="s">
        <v>379</v>
      </c>
      <c r="H607" s="3"/>
    </row>
    <row r="608">
      <c r="G608" s="12" t="s">
        <v>379</v>
      </c>
      <c r="H608" s="3"/>
    </row>
    <row r="609">
      <c r="G609" s="12" t="s">
        <v>379</v>
      </c>
      <c r="H609" s="3"/>
    </row>
    <row r="610">
      <c r="G610" s="12" t="s">
        <v>379</v>
      </c>
      <c r="H610" s="3"/>
    </row>
    <row r="611">
      <c r="G611" s="12" t="s">
        <v>379</v>
      </c>
      <c r="H611" s="3"/>
    </row>
    <row r="612">
      <c r="G612" s="12" t="s">
        <v>379</v>
      </c>
      <c r="H612" s="3"/>
    </row>
    <row r="613">
      <c r="G613" s="12" t="s">
        <v>379</v>
      </c>
      <c r="H613" s="3"/>
    </row>
    <row r="614">
      <c r="G614" s="12" t="s">
        <v>379</v>
      </c>
      <c r="H614" s="3"/>
    </row>
    <row r="615">
      <c r="G615" s="12" t="s">
        <v>379</v>
      </c>
      <c r="H615" s="3"/>
    </row>
    <row r="616">
      <c r="G616" s="12" t="s">
        <v>379</v>
      </c>
      <c r="H616" s="3"/>
    </row>
    <row r="617">
      <c r="G617" s="12" t="s">
        <v>379</v>
      </c>
      <c r="H617" s="3"/>
    </row>
    <row r="618">
      <c r="G618" s="12" t="s">
        <v>379</v>
      </c>
      <c r="H618" s="3"/>
    </row>
    <row r="619">
      <c r="G619" s="12" t="s">
        <v>379</v>
      </c>
      <c r="H619" s="3"/>
    </row>
    <row r="620">
      <c r="G620" s="12" t="s">
        <v>379</v>
      </c>
      <c r="H620" s="3"/>
    </row>
    <row r="621">
      <c r="G621" s="12" t="s">
        <v>379</v>
      </c>
      <c r="H621" s="3"/>
    </row>
    <row r="622">
      <c r="G622" s="12" t="s">
        <v>379</v>
      </c>
      <c r="H622" s="3"/>
    </row>
    <row r="623">
      <c r="G623" s="12" t="s">
        <v>379</v>
      </c>
      <c r="H623" s="3"/>
    </row>
    <row r="624">
      <c r="G624" s="12" t="s">
        <v>379</v>
      </c>
      <c r="H624" s="3"/>
    </row>
    <row r="625">
      <c r="G625" s="12" t="s">
        <v>379</v>
      </c>
      <c r="H625" s="3"/>
    </row>
    <row r="626">
      <c r="G626" s="12" t="s">
        <v>379</v>
      </c>
      <c r="H626" s="3"/>
    </row>
    <row r="627">
      <c r="G627" s="12" t="s">
        <v>379</v>
      </c>
      <c r="H627" s="3"/>
    </row>
    <row r="628">
      <c r="G628" s="12" t="s">
        <v>379</v>
      </c>
      <c r="H628" s="3"/>
    </row>
    <row r="629">
      <c r="G629" s="12" t="s">
        <v>379</v>
      </c>
      <c r="H629" s="3"/>
    </row>
    <row r="630">
      <c r="G630" s="12" t="s">
        <v>379</v>
      </c>
      <c r="H630" s="3"/>
    </row>
    <row r="631">
      <c r="G631" s="12" t="s">
        <v>379</v>
      </c>
      <c r="H631" s="3"/>
    </row>
    <row r="632">
      <c r="G632" s="12" t="s">
        <v>379</v>
      </c>
      <c r="H632" s="3"/>
    </row>
    <row r="633">
      <c r="G633" s="12" t="s">
        <v>379</v>
      </c>
      <c r="H633" s="3"/>
    </row>
    <row r="634">
      <c r="G634" s="12" t="s">
        <v>379</v>
      </c>
      <c r="H634" s="3"/>
    </row>
    <row r="635">
      <c r="G635" s="12" t="s">
        <v>379</v>
      </c>
      <c r="H635" s="3"/>
    </row>
    <row r="636">
      <c r="G636" s="12" t="s">
        <v>379</v>
      </c>
      <c r="H636" s="3"/>
    </row>
    <row r="637">
      <c r="G637" s="12" t="s">
        <v>379</v>
      </c>
      <c r="H637" s="3"/>
    </row>
    <row r="638">
      <c r="G638" s="12" t="s">
        <v>379</v>
      </c>
      <c r="H638" s="3"/>
    </row>
    <row r="639">
      <c r="G639" s="12" t="s">
        <v>379</v>
      </c>
      <c r="H639" s="3"/>
    </row>
    <row r="640">
      <c r="G640" s="12" t="s">
        <v>379</v>
      </c>
      <c r="H640" s="3"/>
    </row>
    <row r="641">
      <c r="G641" s="12" t="s">
        <v>379</v>
      </c>
      <c r="H641" s="3"/>
    </row>
    <row r="642">
      <c r="G642" s="12" t="s">
        <v>379</v>
      </c>
      <c r="H642" s="3"/>
    </row>
    <row r="643">
      <c r="G643" s="12" t="s">
        <v>379</v>
      </c>
      <c r="H643" s="3"/>
    </row>
    <row r="644">
      <c r="G644" s="12" t="s">
        <v>379</v>
      </c>
      <c r="H644" s="3"/>
    </row>
    <row r="645">
      <c r="G645" s="12" t="s">
        <v>379</v>
      </c>
      <c r="H645" s="3"/>
    </row>
    <row r="646">
      <c r="G646" s="12" t="s">
        <v>379</v>
      </c>
      <c r="H646" s="3"/>
    </row>
    <row r="647">
      <c r="G647" s="12" t="s">
        <v>379</v>
      </c>
      <c r="H647" s="3"/>
    </row>
    <row r="648">
      <c r="G648" s="12" t="s">
        <v>379</v>
      </c>
      <c r="H648" s="3"/>
    </row>
    <row r="649">
      <c r="G649" s="12" t="s">
        <v>379</v>
      </c>
      <c r="H649" s="3"/>
    </row>
    <row r="650">
      <c r="G650" s="12" t="s">
        <v>379</v>
      </c>
      <c r="H650" s="3"/>
    </row>
    <row r="651">
      <c r="G651" s="12" t="s">
        <v>379</v>
      </c>
      <c r="H651" s="3"/>
    </row>
    <row r="652">
      <c r="G652" s="12" t="s">
        <v>379</v>
      </c>
      <c r="H652" s="3"/>
    </row>
    <row r="653">
      <c r="G653" s="12" t="s">
        <v>379</v>
      </c>
      <c r="H653" s="3"/>
    </row>
    <row r="654">
      <c r="G654" s="12" t="s">
        <v>379</v>
      </c>
      <c r="H654" s="3"/>
    </row>
    <row r="655">
      <c r="G655" s="12" t="s">
        <v>379</v>
      </c>
      <c r="H655" s="3"/>
    </row>
    <row r="656">
      <c r="G656" s="12" t="s">
        <v>379</v>
      </c>
      <c r="H656" s="3"/>
    </row>
    <row r="657">
      <c r="G657" s="12" t="s">
        <v>379</v>
      </c>
      <c r="H657" s="3"/>
    </row>
    <row r="658">
      <c r="G658" s="12" t="s">
        <v>379</v>
      </c>
      <c r="H658" s="3"/>
    </row>
    <row r="659">
      <c r="G659" s="12" t="s">
        <v>379</v>
      </c>
      <c r="H659" s="3"/>
    </row>
    <row r="660">
      <c r="G660" s="12" t="s">
        <v>379</v>
      </c>
      <c r="H660" s="3"/>
    </row>
    <row r="661">
      <c r="G661" s="12" t="s">
        <v>379</v>
      </c>
      <c r="H661" s="3"/>
    </row>
    <row r="662">
      <c r="G662" s="12" t="s">
        <v>379</v>
      </c>
      <c r="H662" s="3"/>
    </row>
    <row r="663">
      <c r="G663" s="12" t="s">
        <v>379</v>
      </c>
      <c r="H663" s="3"/>
    </row>
    <row r="664">
      <c r="G664" s="12" t="s">
        <v>379</v>
      </c>
      <c r="H664" s="3"/>
    </row>
    <row r="665">
      <c r="G665" s="12" t="s">
        <v>379</v>
      </c>
      <c r="H665" s="3"/>
    </row>
    <row r="666">
      <c r="G666" s="12" t="s">
        <v>379</v>
      </c>
      <c r="H666" s="3"/>
    </row>
    <row r="667">
      <c r="G667" s="12" t="s">
        <v>379</v>
      </c>
      <c r="H667" s="3"/>
    </row>
    <row r="668">
      <c r="G668" s="12" t="s">
        <v>379</v>
      </c>
      <c r="H668" s="3"/>
    </row>
    <row r="669">
      <c r="G669" s="12" t="s">
        <v>379</v>
      </c>
      <c r="H669" s="3"/>
    </row>
    <row r="670">
      <c r="G670" s="12" t="s">
        <v>379</v>
      </c>
      <c r="H670" s="3"/>
    </row>
    <row r="671">
      <c r="G671" s="12" t="s">
        <v>379</v>
      </c>
      <c r="H671" s="3"/>
    </row>
    <row r="672">
      <c r="G672" s="12" t="s">
        <v>379</v>
      </c>
      <c r="H672" s="3"/>
    </row>
    <row r="673">
      <c r="G673" s="12" t="s">
        <v>379</v>
      </c>
      <c r="H673" s="3"/>
    </row>
    <row r="674">
      <c r="G674" s="12" t="s">
        <v>379</v>
      </c>
      <c r="H674" s="3"/>
    </row>
    <row r="675">
      <c r="G675" s="12" t="s">
        <v>379</v>
      </c>
      <c r="H675" s="3"/>
    </row>
    <row r="676">
      <c r="G676" s="12" t="s">
        <v>379</v>
      </c>
      <c r="H676" s="3"/>
    </row>
    <row r="677">
      <c r="G677" s="12" t="s">
        <v>379</v>
      </c>
      <c r="H677" s="3"/>
    </row>
    <row r="678">
      <c r="G678" s="12" t="s">
        <v>379</v>
      </c>
      <c r="H678" s="3"/>
    </row>
    <row r="679">
      <c r="G679" s="12" t="s">
        <v>379</v>
      </c>
      <c r="H679" s="3"/>
    </row>
    <row r="680">
      <c r="G680" s="12" t="s">
        <v>379</v>
      </c>
      <c r="H680" s="3"/>
    </row>
    <row r="681">
      <c r="G681" s="12" t="s">
        <v>379</v>
      </c>
      <c r="H681" s="3"/>
    </row>
    <row r="682">
      <c r="G682" s="12" t="s">
        <v>379</v>
      </c>
      <c r="H682" s="3"/>
    </row>
    <row r="683">
      <c r="G683" s="12" t="s">
        <v>379</v>
      </c>
      <c r="H683" s="3"/>
    </row>
    <row r="684">
      <c r="G684" s="12" t="s">
        <v>379</v>
      </c>
      <c r="H684" s="3"/>
    </row>
    <row r="685">
      <c r="G685" s="12" t="s">
        <v>379</v>
      </c>
      <c r="H685" s="3"/>
    </row>
    <row r="686">
      <c r="G686" s="12" t="s">
        <v>379</v>
      </c>
      <c r="H686" s="3"/>
    </row>
    <row r="687">
      <c r="G687" s="12" t="s">
        <v>379</v>
      </c>
      <c r="H687" s="3"/>
    </row>
    <row r="688">
      <c r="G688" s="12" t="s">
        <v>379</v>
      </c>
      <c r="H688" s="3"/>
    </row>
    <row r="689">
      <c r="G689" s="12" t="s">
        <v>379</v>
      </c>
      <c r="H689" s="3"/>
    </row>
    <row r="690">
      <c r="G690" s="12" t="s">
        <v>379</v>
      </c>
      <c r="H690" s="3"/>
    </row>
    <row r="691">
      <c r="G691" s="12" t="s">
        <v>379</v>
      </c>
      <c r="H691" s="3"/>
    </row>
    <row r="692">
      <c r="G692" s="12" t="s">
        <v>379</v>
      </c>
      <c r="H692" s="3"/>
    </row>
    <row r="693">
      <c r="G693" s="12" t="s">
        <v>379</v>
      </c>
      <c r="H693" s="3"/>
    </row>
    <row r="694">
      <c r="G694" s="12" t="s">
        <v>379</v>
      </c>
      <c r="H694" s="3"/>
    </row>
    <row r="695">
      <c r="G695" s="12" t="s">
        <v>379</v>
      </c>
      <c r="H695" s="3"/>
    </row>
    <row r="696">
      <c r="G696" s="12" t="s">
        <v>379</v>
      </c>
      <c r="H696" s="3"/>
    </row>
    <row r="697">
      <c r="G697" s="12" t="s">
        <v>379</v>
      </c>
      <c r="H697" s="3"/>
    </row>
    <row r="698">
      <c r="G698" s="12" t="s">
        <v>379</v>
      </c>
      <c r="H698" s="3"/>
    </row>
    <row r="699">
      <c r="G699" s="12" t="s">
        <v>379</v>
      </c>
      <c r="H699" s="3"/>
    </row>
    <row r="700">
      <c r="G700" s="12" t="s">
        <v>379</v>
      </c>
      <c r="H700" s="3"/>
    </row>
    <row r="701">
      <c r="G701" s="12" t="s">
        <v>379</v>
      </c>
      <c r="H701" s="3"/>
    </row>
    <row r="702">
      <c r="G702" s="12" t="s">
        <v>379</v>
      </c>
      <c r="H702" s="3"/>
    </row>
    <row r="703">
      <c r="G703" s="12" t="s">
        <v>379</v>
      </c>
      <c r="H703" s="3"/>
    </row>
    <row r="704">
      <c r="G704" s="12" t="s">
        <v>379</v>
      </c>
      <c r="H704" s="3"/>
    </row>
    <row r="705">
      <c r="G705" s="12" t="s">
        <v>379</v>
      </c>
      <c r="H705" s="3"/>
    </row>
    <row r="706">
      <c r="G706" s="12" t="s">
        <v>379</v>
      </c>
      <c r="H706" s="3"/>
    </row>
    <row r="707">
      <c r="G707" s="12" t="s">
        <v>379</v>
      </c>
      <c r="H707" s="3"/>
    </row>
    <row r="708">
      <c r="G708" s="12" t="s">
        <v>379</v>
      </c>
      <c r="H708" s="3"/>
    </row>
    <row r="709">
      <c r="G709" s="12" t="s">
        <v>379</v>
      </c>
      <c r="H709" s="3"/>
    </row>
    <row r="710">
      <c r="G710" s="12" t="s">
        <v>379</v>
      </c>
      <c r="H710" s="3"/>
    </row>
    <row r="711">
      <c r="G711" s="12" t="s">
        <v>379</v>
      </c>
      <c r="H711" s="3"/>
    </row>
    <row r="712">
      <c r="G712" s="12" t="s">
        <v>379</v>
      </c>
      <c r="H712" s="3"/>
    </row>
    <row r="713">
      <c r="G713" s="12" t="s">
        <v>379</v>
      </c>
      <c r="H713" s="3"/>
    </row>
    <row r="714">
      <c r="G714" s="12" t="s">
        <v>379</v>
      </c>
      <c r="H714" s="3"/>
    </row>
    <row r="715">
      <c r="G715" s="12" t="s">
        <v>379</v>
      </c>
      <c r="H715" s="3"/>
    </row>
    <row r="716">
      <c r="G716" s="12" t="s">
        <v>379</v>
      </c>
      <c r="H716" s="3"/>
    </row>
    <row r="717">
      <c r="G717" s="12" t="s">
        <v>379</v>
      </c>
      <c r="H717" s="3"/>
    </row>
    <row r="718">
      <c r="G718" s="12" t="s">
        <v>379</v>
      </c>
      <c r="H718" s="3"/>
    </row>
    <row r="719">
      <c r="G719" s="12" t="s">
        <v>379</v>
      </c>
      <c r="H719" s="3"/>
    </row>
    <row r="720">
      <c r="G720" s="12" t="s">
        <v>379</v>
      </c>
      <c r="H720" s="3"/>
    </row>
    <row r="721">
      <c r="G721" s="12" t="s">
        <v>379</v>
      </c>
      <c r="H721" s="3"/>
    </row>
    <row r="722">
      <c r="G722" s="12" t="s">
        <v>379</v>
      </c>
      <c r="H722" s="3"/>
    </row>
    <row r="723">
      <c r="G723" s="12" t="s">
        <v>379</v>
      </c>
      <c r="H723" s="3"/>
    </row>
    <row r="724">
      <c r="G724" s="12" t="s">
        <v>379</v>
      </c>
      <c r="H724" s="3"/>
    </row>
    <row r="725">
      <c r="G725" s="12" t="s">
        <v>379</v>
      </c>
      <c r="H725" s="3"/>
    </row>
    <row r="726">
      <c r="G726" s="12" t="s">
        <v>379</v>
      </c>
      <c r="H726" s="3"/>
    </row>
    <row r="727">
      <c r="G727" s="12" t="s">
        <v>379</v>
      </c>
      <c r="H727" s="3"/>
    </row>
    <row r="728">
      <c r="G728" s="12" t="s">
        <v>379</v>
      </c>
      <c r="H728" s="3"/>
    </row>
    <row r="729">
      <c r="G729" s="12" t="s">
        <v>379</v>
      </c>
      <c r="H729" s="3"/>
    </row>
    <row r="730">
      <c r="G730" s="12" t="s">
        <v>379</v>
      </c>
      <c r="H730" s="3"/>
    </row>
    <row r="731">
      <c r="G731" s="12" t="s">
        <v>379</v>
      </c>
      <c r="H731" s="3"/>
    </row>
    <row r="732">
      <c r="G732" s="12" t="s">
        <v>379</v>
      </c>
      <c r="H732" s="3"/>
    </row>
    <row r="733">
      <c r="G733" s="12" t="s">
        <v>379</v>
      </c>
      <c r="H733" s="3"/>
    </row>
    <row r="734">
      <c r="G734" s="12" t="s">
        <v>379</v>
      </c>
      <c r="H734" s="3"/>
    </row>
    <row r="735">
      <c r="G735" s="12" t="s">
        <v>379</v>
      </c>
      <c r="H735" s="3"/>
    </row>
    <row r="736">
      <c r="G736" s="12" t="s">
        <v>379</v>
      </c>
      <c r="H736" s="3"/>
    </row>
    <row r="737">
      <c r="G737" s="12" t="s">
        <v>379</v>
      </c>
      <c r="H737" s="3"/>
    </row>
    <row r="738">
      <c r="G738" s="12" t="s">
        <v>379</v>
      </c>
      <c r="H738" s="3"/>
    </row>
    <row r="739">
      <c r="G739" s="12" t="s">
        <v>379</v>
      </c>
      <c r="H739" s="3"/>
    </row>
    <row r="740">
      <c r="G740" s="12" t="s">
        <v>379</v>
      </c>
      <c r="H740" s="3"/>
    </row>
    <row r="741">
      <c r="G741" s="12" t="s">
        <v>379</v>
      </c>
      <c r="H741" s="3"/>
    </row>
    <row r="742">
      <c r="G742" s="12" t="s">
        <v>379</v>
      </c>
      <c r="H742" s="3"/>
    </row>
    <row r="743">
      <c r="G743" s="12" t="s">
        <v>379</v>
      </c>
      <c r="H743" s="3"/>
    </row>
    <row r="744">
      <c r="G744" s="12" t="s">
        <v>379</v>
      </c>
      <c r="H744" s="3"/>
    </row>
    <row r="745">
      <c r="G745" s="12" t="s">
        <v>379</v>
      </c>
      <c r="H745" s="3"/>
    </row>
    <row r="746">
      <c r="G746" s="12" t="s">
        <v>379</v>
      </c>
      <c r="H746" s="3"/>
    </row>
    <row r="747">
      <c r="G747" s="12" t="s">
        <v>379</v>
      </c>
      <c r="H747" s="3"/>
    </row>
    <row r="748">
      <c r="G748" s="12" t="s">
        <v>379</v>
      </c>
      <c r="H748" s="3"/>
    </row>
    <row r="749">
      <c r="G749" s="12" t="s">
        <v>379</v>
      </c>
      <c r="H749" s="3"/>
    </row>
    <row r="750">
      <c r="G750" s="12" t="s">
        <v>379</v>
      </c>
      <c r="H750" s="3"/>
    </row>
    <row r="751">
      <c r="G751" s="12" t="s">
        <v>379</v>
      </c>
      <c r="H751" s="3"/>
    </row>
    <row r="752">
      <c r="G752" s="12" t="s">
        <v>379</v>
      </c>
      <c r="H752" s="3"/>
    </row>
    <row r="753">
      <c r="G753" s="12" t="s">
        <v>379</v>
      </c>
      <c r="H753" s="3"/>
    </row>
    <row r="754">
      <c r="G754" s="12" t="s">
        <v>379</v>
      </c>
      <c r="H754" s="3"/>
    </row>
    <row r="755">
      <c r="G755" s="12" t="s">
        <v>379</v>
      </c>
      <c r="H755" s="3"/>
    </row>
    <row r="756">
      <c r="G756" s="12" t="s">
        <v>379</v>
      </c>
      <c r="H756" s="3"/>
    </row>
    <row r="757">
      <c r="G757" s="12" t="s">
        <v>379</v>
      </c>
      <c r="H757" s="3"/>
    </row>
    <row r="758">
      <c r="G758" s="12" t="s">
        <v>379</v>
      </c>
      <c r="H758" s="3"/>
    </row>
    <row r="759">
      <c r="G759" s="12" t="s">
        <v>379</v>
      </c>
      <c r="H759" s="3"/>
    </row>
    <row r="760">
      <c r="G760" s="12" t="s">
        <v>379</v>
      </c>
      <c r="H760" s="3"/>
    </row>
    <row r="761">
      <c r="G761" s="12" t="s">
        <v>379</v>
      </c>
      <c r="H761" s="3"/>
    </row>
    <row r="762">
      <c r="G762" s="12" t="s">
        <v>379</v>
      </c>
      <c r="H762" s="3"/>
    </row>
    <row r="763">
      <c r="G763" s="12" t="s">
        <v>379</v>
      </c>
      <c r="H763" s="3"/>
    </row>
    <row r="764">
      <c r="G764" s="12" t="s">
        <v>379</v>
      </c>
      <c r="H764" s="3"/>
    </row>
    <row r="765">
      <c r="G765" s="12" t="s">
        <v>379</v>
      </c>
      <c r="H765" s="3"/>
    </row>
    <row r="766">
      <c r="G766" s="12" t="s">
        <v>379</v>
      </c>
      <c r="H766" s="3"/>
    </row>
    <row r="767">
      <c r="G767" s="12" t="s">
        <v>379</v>
      </c>
      <c r="H767" s="3"/>
    </row>
    <row r="768">
      <c r="G768" s="12" t="s">
        <v>379</v>
      </c>
      <c r="H768" s="3"/>
    </row>
    <row r="769">
      <c r="G769" s="12" t="s">
        <v>379</v>
      </c>
      <c r="H769" s="3"/>
    </row>
    <row r="770">
      <c r="G770" s="12" t="s">
        <v>379</v>
      </c>
      <c r="H770" s="3"/>
    </row>
    <row r="771">
      <c r="G771" s="12" t="s">
        <v>379</v>
      </c>
      <c r="H771" s="3"/>
    </row>
    <row r="772">
      <c r="G772" s="12" t="s">
        <v>379</v>
      </c>
      <c r="H772" s="3"/>
    </row>
    <row r="773">
      <c r="G773" s="12" t="s">
        <v>379</v>
      </c>
      <c r="H773" s="3"/>
    </row>
    <row r="774">
      <c r="G774" s="12" t="s">
        <v>379</v>
      </c>
      <c r="H774" s="3"/>
    </row>
    <row r="775">
      <c r="G775" s="12" t="s">
        <v>379</v>
      </c>
      <c r="H775" s="3"/>
    </row>
    <row r="776">
      <c r="G776" s="12" t="s">
        <v>379</v>
      </c>
      <c r="H776" s="3"/>
    </row>
    <row r="777">
      <c r="G777" s="12" t="s">
        <v>379</v>
      </c>
      <c r="H777" s="3"/>
    </row>
    <row r="778">
      <c r="G778" s="12" t="s">
        <v>379</v>
      </c>
      <c r="H778" s="3"/>
    </row>
    <row r="779">
      <c r="G779" s="12" t="s">
        <v>379</v>
      </c>
      <c r="H779" s="3"/>
    </row>
    <row r="780">
      <c r="G780" s="12" t="s">
        <v>379</v>
      </c>
      <c r="H780" s="3"/>
    </row>
    <row r="781">
      <c r="G781" s="12" t="s">
        <v>379</v>
      </c>
      <c r="H781" s="3"/>
    </row>
    <row r="782">
      <c r="G782" s="12" t="s">
        <v>379</v>
      </c>
      <c r="H782" s="3"/>
    </row>
    <row r="783">
      <c r="G783" s="12" t="s">
        <v>379</v>
      </c>
      <c r="H783" s="3"/>
    </row>
    <row r="784">
      <c r="G784" s="12" t="s">
        <v>379</v>
      </c>
      <c r="H784" s="3"/>
    </row>
    <row r="785">
      <c r="G785" s="12" t="s">
        <v>379</v>
      </c>
      <c r="H785" s="3"/>
    </row>
    <row r="786">
      <c r="G786" s="12" t="s">
        <v>379</v>
      </c>
      <c r="H786" s="3"/>
    </row>
    <row r="787">
      <c r="G787" s="12" t="s">
        <v>379</v>
      </c>
      <c r="H787" s="3"/>
    </row>
    <row r="788">
      <c r="G788" s="12" t="s">
        <v>379</v>
      </c>
      <c r="H788" s="3"/>
    </row>
    <row r="789">
      <c r="G789" s="12" t="s">
        <v>379</v>
      </c>
      <c r="H789" s="3"/>
    </row>
    <row r="790">
      <c r="G790" s="12" t="s">
        <v>379</v>
      </c>
      <c r="H790" s="3"/>
    </row>
    <row r="791">
      <c r="G791" s="12" t="s">
        <v>379</v>
      </c>
      <c r="H791" s="3"/>
    </row>
    <row r="792">
      <c r="G792" s="12" t="s">
        <v>379</v>
      </c>
      <c r="H792" s="3"/>
    </row>
    <row r="793">
      <c r="G793" s="12" t="s">
        <v>379</v>
      </c>
      <c r="H793" s="3"/>
    </row>
    <row r="794">
      <c r="G794" s="12" t="s">
        <v>379</v>
      </c>
      <c r="H794" s="3"/>
    </row>
    <row r="795">
      <c r="G795" s="12" t="s">
        <v>379</v>
      </c>
      <c r="H795" s="3"/>
    </row>
    <row r="796">
      <c r="G796" s="12" t="s">
        <v>379</v>
      </c>
      <c r="H796" s="3"/>
    </row>
    <row r="797">
      <c r="G797" s="12" t="s">
        <v>379</v>
      </c>
      <c r="H797" s="3"/>
    </row>
    <row r="798">
      <c r="G798" s="12" t="s">
        <v>379</v>
      </c>
      <c r="H798" s="3"/>
    </row>
    <row r="799">
      <c r="G799" s="12" t="s">
        <v>379</v>
      </c>
      <c r="H799" s="3"/>
    </row>
    <row r="800">
      <c r="G800" s="12" t="s">
        <v>379</v>
      </c>
      <c r="H800" s="3"/>
    </row>
    <row r="801">
      <c r="G801" s="12" t="s">
        <v>379</v>
      </c>
      <c r="H801" s="3"/>
    </row>
    <row r="802">
      <c r="G802" s="12" t="s">
        <v>379</v>
      </c>
      <c r="H802" s="3"/>
    </row>
    <row r="803">
      <c r="G803" s="12" t="s">
        <v>379</v>
      </c>
      <c r="H803" s="3"/>
    </row>
    <row r="804">
      <c r="G804" s="12" t="s">
        <v>379</v>
      </c>
      <c r="H804" s="3"/>
    </row>
    <row r="805">
      <c r="G805" s="12" t="s">
        <v>379</v>
      </c>
      <c r="H805" s="3"/>
    </row>
    <row r="806">
      <c r="G806" s="12" t="s">
        <v>379</v>
      </c>
      <c r="H806" s="3"/>
    </row>
    <row r="807">
      <c r="G807" s="12" t="s">
        <v>379</v>
      </c>
      <c r="H807" s="3"/>
    </row>
    <row r="808">
      <c r="G808" s="12" t="s">
        <v>379</v>
      </c>
      <c r="H808" s="3"/>
    </row>
    <row r="809">
      <c r="G809" s="12" t="s">
        <v>379</v>
      </c>
      <c r="H809" s="3"/>
    </row>
    <row r="810">
      <c r="G810" s="12" t="s">
        <v>379</v>
      </c>
      <c r="H810" s="3"/>
    </row>
    <row r="811">
      <c r="G811" s="12" t="s">
        <v>379</v>
      </c>
      <c r="H811" s="3"/>
    </row>
    <row r="812">
      <c r="G812" s="12" t="s">
        <v>379</v>
      </c>
      <c r="H812" s="3"/>
    </row>
    <row r="813">
      <c r="G813" s="12" t="s">
        <v>379</v>
      </c>
      <c r="H813" s="3"/>
    </row>
    <row r="814">
      <c r="G814" s="12" t="s">
        <v>379</v>
      </c>
      <c r="H814" s="3"/>
    </row>
    <row r="815">
      <c r="G815" s="12" t="s">
        <v>379</v>
      </c>
      <c r="H815" s="3"/>
    </row>
    <row r="816">
      <c r="G816" s="12" t="s">
        <v>379</v>
      </c>
      <c r="H816" s="3"/>
    </row>
    <row r="817">
      <c r="G817" s="12" t="s">
        <v>379</v>
      </c>
      <c r="H817" s="3"/>
    </row>
    <row r="818">
      <c r="G818" s="12" t="s">
        <v>379</v>
      </c>
      <c r="H818" s="3"/>
    </row>
    <row r="819">
      <c r="G819" s="12" t="s">
        <v>379</v>
      </c>
      <c r="H819" s="3"/>
    </row>
    <row r="820">
      <c r="G820" s="12" t="s">
        <v>379</v>
      </c>
      <c r="H820" s="3"/>
    </row>
    <row r="821">
      <c r="G821" s="12" t="s">
        <v>379</v>
      </c>
      <c r="H821" s="3"/>
    </row>
    <row r="822">
      <c r="G822" s="12" t="s">
        <v>379</v>
      </c>
      <c r="H822" s="3"/>
    </row>
    <row r="823">
      <c r="G823" s="12" t="s">
        <v>379</v>
      </c>
      <c r="H823" s="3"/>
    </row>
    <row r="824">
      <c r="G824" s="12" t="s">
        <v>379</v>
      </c>
      <c r="H824" s="3"/>
    </row>
    <row r="825">
      <c r="G825" s="12" t="s">
        <v>379</v>
      </c>
      <c r="H825" s="3"/>
    </row>
    <row r="826">
      <c r="G826" s="12" t="s">
        <v>379</v>
      </c>
      <c r="H826" s="3"/>
    </row>
    <row r="827">
      <c r="G827" s="12" t="s">
        <v>379</v>
      </c>
      <c r="H827" s="3"/>
    </row>
    <row r="828">
      <c r="G828" s="12" t="s">
        <v>379</v>
      </c>
      <c r="H828" s="3"/>
    </row>
    <row r="829">
      <c r="G829" s="12" t="s">
        <v>379</v>
      </c>
      <c r="H829" s="3"/>
    </row>
    <row r="830">
      <c r="G830" s="12" t="s">
        <v>379</v>
      </c>
      <c r="H830" s="3"/>
    </row>
    <row r="831">
      <c r="G831" s="12" t="s">
        <v>379</v>
      </c>
      <c r="H831" s="3"/>
    </row>
    <row r="832">
      <c r="G832" s="12" t="s">
        <v>379</v>
      </c>
      <c r="H832" s="3"/>
    </row>
    <row r="833">
      <c r="G833" s="12" t="s">
        <v>379</v>
      </c>
      <c r="H833" s="3"/>
    </row>
    <row r="834">
      <c r="G834" s="12" t="s">
        <v>379</v>
      </c>
      <c r="H834" s="3"/>
    </row>
    <row r="835">
      <c r="G835" s="12" t="s">
        <v>379</v>
      </c>
      <c r="H835" s="3"/>
    </row>
    <row r="836">
      <c r="G836" s="12" t="s">
        <v>379</v>
      </c>
      <c r="H836" s="3"/>
    </row>
    <row r="837">
      <c r="G837" s="12" t="s">
        <v>379</v>
      </c>
      <c r="H837" s="3"/>
    </row>
    <row r="838">
      <c r="G838" s="12" t="s">
        <v>379</v>
      </c>
      <c r="H838" s="3"/>
    </row>
    <row r="839">
      <c r="G839" s="12" t="s">
        <v>379</v>
      </c>
      <c r="H839" s="3"/>
    </row>
    <row r="840">
      <c r="G840" s="12" t="s">
        <v>379</v>
      </c>
      <c r="H840" s="3"/>
    </row>
    <row r="841">
      <c r="G841" s="12" t="s">
        <v>379</v>
      </c>
      <c r="H841" s="3"/>
    </row>
    <row r="842">
      <c r="G842" s="12" t="s">
        <v>379</v>
      </c>
      <c r="H842" s="3"/>
    </row>
    <row r="843">
      <c r="G843" s="12" t="s">
        <v>379</v>
      </c>
      <c r="H843" s="3"/>
    </row>
    <row r="844">
      <c r="G844" s="12" t="s">
        <v>379</v>
      </c>
      <c r="H844" s="3"/>
    </row>
    <row r="845">
      <c r="G845" s="12" t="s">
        <v>379</v>
      </c>
      <c r="H845" s="3"/>
    </row>
    <row r="846">
      <c r="G846" s="12" t="s">
        <v>379</v>
      </c>
      <c r="H846" s="3"/>
    </row>
    <row r="847">
      <c r="G847" s="12" t="s">
        <v>379</v>
      </c>
      <c r="H847" s="3"/>
    </row>
    <row r="848">
      <c r="G848" s="12" t="s">
        <v>379</v>
      </c>
      <c r="H848" s="3"/>
    </row>
    <row r="849">
      <c r="G849" s="12" t="s">
        <v>379</v>
      </c>
      <c r="H849" s="3"/>
    </row>
    <row r="850">
      <c r="G850" s="12" t="s">
        <v>379</v>
      </c>
      <c r="H850" s="3"/>
    </row>
    <row r="851">
      <c r="G851" s="12" t="s">
        <v>379</v>
      </c>
      <c r="H851" s="3"/>
    </row>
    <row r="852">
      <c r="G852" s="12" t="s">
        <v>379</v>
      </c>
      <c r="H852" s="3"/>
    </row>
    <row r="853">
      <c r="G853" s="12" t="s">
        <v>379</v>
      </c>
      <c r="H853" s="3"/>
    </row>
    <row r="854">
      <c r="G854" s="12" t="s">
        <v>379</v>
      </c>
      <c r="H854" s="3"/>
    </row>
    <row r="855">
      <c r="G855" s="12" t="s">
        <v>379</v>
      </c>
      <c r="H855" s="3"/>
    </row>
    <row r="856">
      <c r="G856" s="12" t="s">
        <v>379</v>
      </c>
      <c r="H856" s="3"/>
    </row>
    <row r="857">
      <c r="G857" s="12" t="s">
        <v>379</v>
      </c>
      <c r="H857" s="3"/>
    </row>
    <row r="858">
      <c r="G858" s="12" t="s">
        <v>379</v>
      </c>
      <c r="H858" s="3"/>
    </row>
    <row r="859">
      <c r="G859" s="12" t="s">
        <v>379</v>
      </c>
      <c r="H859" s="3"/>
    </row>
    <row r="860">
      <c r="G860" s="12" t="s">
        <v>379</v>
      </c>
      <c r="H860" s="3"/>
    </row>
    <row r="861">
      <c r="G861" s="12" t="s">
        <v>379</v>
      </c>
      <c r="H861" s="3"/>
    </row>
    <row r="862">
      <c r="G862" s="12" t="s">
        <v>379</v>
      </c>
      <c r="H862" s="3"/>
    </row>
    <row r="863">
      <c r="G863" s="12" t="s">
        <v>379</v>
      </c>
      <c r="H863" s="3"/>
    </row>
    <row r="864">
      <c r="G864" s="12" t="s">
        <v>379</v>
      </c>
      <c r="H864" s="3"/>
    </row>
    <row r="865">
      <c r="G865" s="12" t="s">
        <v>379</v>
      </c>
      <c r="H865" s="3"/>
    </row>
    <row r="866">
      <c r="G866" s="12" t="s">
        <v>379</v>
      </c>
      <c r="H866" s="3"/>
    </row>
    <row r="867">
      <c r="G867" s="12" t="s">
        <v>379</v>
      </c>
      <c r="H867" s="3"/>
    </row>
    <row r="868">
      <c r="G868" s="12" t="s">
        <v>379</v>
      </c>
      <c r="H868" s="3"/>
    </row>
    <row r="869">
      <c r="G869" s="12" t="s">
        <v>379</v>
      </c>
      <c r="H869" s="3"/>
    </row>
    <row r="870">
      <c r="G870" s="12" t="s">
        <v>379</v>
      </c>
      <c r="H870" s="3"/>
    </row>
    <row r="871">
      <c r="G871" s="12" t="s">
        <v>379</v>
      </c>
      <c r="H871" s="3"/>
    </row>
    <row r="872">
      <c r="G872" s="12" t="s">
        <v>379</v>
      </c>
      <c r="H872" s="3"/>
    </row>
    <row r="873">
      <c r="G873" s="12" t="s">
        <v>379</v>
      </c>
      <c r="H873" s="3"/>
    </row>
    <row r="874">
      <c r="G874" s="12" t="s">
        <v>379</v>
      </c>
      <c r="H874" s="3"/>
    </row>
    <row r="875">
      <c r="G875" s="12" t="s">
        <v>379</v>
      </c>
      <c r="H875" s="3"/>
    </row>
    <row r="876">
      <c r="G876" s="12" t="s">
        <v>379</v>
      </c>
      <c r="H876" s="3"/>
    </row>
    <row r="877">
      <c r="G877" s="12" t="s">
        <v>379</v>
      </c>
      <c r="H877" s="3"/>
    </row>
    <row r="878">
      <c r="G878" s="12" t="s">
        <v>379</v>
      </c>
      <c r="H878" s="3"/>
    </row>
    <row r="879">
      <c r="G879" s="12" t="s">
        <v>379</v>
      </c>
      <c r="H879" s="3"/>
    </row>
    <row r="880">
      <c r="G880" s="12" t="s">
        <v>379</v>
      </c>
      <c r="H880" s="3"/>
    </row>
    <row r="881">
      <c r="G881" s="12" t="s">
        <v>379</v>
      </c>
      <c r="H881" s="3"/>
    </row>
    <row r="882">
      <c r="G882" s="12" t="s">
        <v>379</v>
      </c>
      <c r="H882" s="3"/>
    </row>
    <row r="883">
      <c r="G883" s="12" t="s">
        <v>379</v>
      </c>
      <c r="H883" s="3"/>
    </row>
    <row r="884">
      <c r="G884" s="12" t="s">
        <v>379</v>
      </c>
      <c r="H884" s="3"/>
    </row>
    <row r="885">
      <c r="G885" s="12" t="s">
        <v>379</v>
      </c>
      <c r="H885" s="3"/>
    </row>
    <row r="886">
      <c r="G886" s="12" t="s">
        <v>379</v>
      </c>
      <c r="H886" s="3"/>
    </row>
    <row r="887">
      <c r="G887" s="12" t="s">
        <v>379</v>
      </c>
      <c r="H887" s="3"/>
    </row>
    <row r="888">
      <c r="G888" s="12" t="s">
        <v>379</v>
      </c>
      <c r="H888" s="3"/>
    </row>
    <row r="889">
      <c r="G889" s="12" t="s">
        <v>379</v>
      </c>
      <c r="H889" s="3"/>
    </row>
    <row r="890">
      <c r="G890" s="12" t="s">
        <v>379</v>
      </c>
      <c r="H890" s="3"/>
    </row>
    <row r="891">
      <c r="G891" s="12" t="s">
        <v>379</v>
      </c>
      <c r="H891" s="3"/>
    </row>
    <row r="892">
      <c r="G892" s="12" t="s">
        <v>379</v>
      </c>
      <c r="H892" s="3"/>
    </row>
    <row r="893">
      <c r="G893" s="12" t="s">
        <v>379</v>
      </c>
      <c r="H893" s="3"/>
    </row>
    <row r="894">
      <c r="G894" s="12" t="s">
        <v>379</v>
      </c>
      <c r="H894" s="3"/>
    </row>
    <row r="895">
      <c r="G895" s="12" t="s">
        <v>379</v>
      </c>
      <c r="H895" s="3"/>
    </row>
    <row r="896">
      <c r="G896" s="12" t="s">
        <v>379</v>
      </c>
      <c r="H896" s="3"/>
    </row>
    <row r="897">
      <c r="G897" s="12" t="s">
        <v>379</v>
      </c>
      <c r="H897" s="3"/>
    </row>
    <row r="898">
      <c r="G898" s="12" t="s">
        <v>379</v>
      </c>
      <c r="H898" s="3"/>
    </row>
    <row r="899">
      <c r="G899" s="12" t="s">
        <v>379</v>
      </c>
      <c r="H899" s="3"/>
    </row>
    <row r="900">
      <c r="G900" s="12" t="s">
        <v>379</v>
      </c>
      <c r="H900" s="3"/>
    </row>
    <row r="901">
      <c r="G901" s="12" t="s">
        <v>379</v>
      </c>
      <c r="H901" s="3"/>
    </row>
    <row r="902">
      <c r="G902" s="12" t="s">
        <v>379</v>
      </c>
      <c r="H902" s="3"/>
    </row>
    <row r="903">
      <c r="G903" s="12" t="s">
        <v>379</v>
      </c>
      <c r="H903" s="3"/>
    </row>
    <row r="904">
      <c r="G904" s="12" t="s">
        <v>379</v>
      </c>
      <c r="H904" s="3"/>
    </row>
    <row r="905">
      <c r="G905" s="12" t="s">
        <v>379</v>
      </c>
      <c r="H905" s="3"/>
    </row>
    <row r="906">
      <c r="G906" s="12" t="s">
        <v>379</v>
      </c>
      <c r="H906" s="3"/>
    </row>
    <row r="907">
      <c r="G907" s="12" t="s">
        <v>379</v>
      </c>
      <c r="H907" s="3"/>
    </row>
    <row r="908">
      <c r="G908" s="12" t="s">
        <v>379</v>
      </c>
      <c r="H908" s="3"/>
    </row>
    <row r="909">
      <c r="G909" s="12" t="s">
        <v>379</v>
      </c>
      <c r="H909" s="3"/>
    </row>
    <row r="910">
      <c r="G910" s="12" t="s">
        <v>379</v>
      </c>
      <c r="H910" s="3"/>
    </row>
    <row r="911">
      <c r="G911" s="12" t="s">
        <v>379</v>
      </c>
      <c r="H911" s="3"/>
    </row>
    <row r="912">
      <c r="G912" s="12" t="s">
        <v>379</v>
      </c>
      <c r="H912" s="3"/>
    </row>
    <row r="913">
      <c r="G913" s="12" t="s">
        <v>379</v>
      </c>
      <c r="H913" s="3"/>
    </row>
    <row r="914">
      <c r="G914" s="12" t="s">
        <v>379</v>
      </c>
      <c r="H914" s="3"/>
    </row>
    <row r="915">
      <c r="G915" s="12" t="s">
        <v>379</v>
      </c>
      <c r="H915" s="3"/>
    </row>
    <row r="916">
      <c r="G916" s="12" t="s">
        <v>379</v>
      </c>
      <c r="H916" s="3"/>
    </row>
    <row r="917">
      <c r="G917" s="12" t="s">
        <v>379</v>
      </c>
      <c r="H917" s="3"/>
    </row>
    <row r="918">
      <c r="G918" s="12" t="s">
        <v>379</v>
      </c>
      <c r="H918" s="3"/>
    </row>
    <row r="919">
      <c r="G919" s="12" t="s">
        <v>379</v>
      </c>
      <c r="H919" s="3"/>
    </row>
    <row r="920">
      <c r="G920" s="12" t="s">
        <v>379</v>
      </c>
      <c r="H920" s="3"/>
    </row>
    <row r="921">
      <c r="G921" s="12" t="s">
        <v>379</v>
      </c>
      <c r="H921" s="3"/>
    </row>
    <row r="922">
      <c r="G922" s="12" t="s">
        <v>379</v>
      </c>
      <c r="H922" s="3"/>
    </row>
    <row r="923">
      <c r="G923" s="12" t="s">
        <v>379</v>
      </c>
      <c r="H923" s="3"/>
    </row>
    <row r="924">
      <c r="G924" s="12" t="s">
        <v>379</v>
      </c>
      <c r="H924" s="3"/>
    </row>
    <row r="925">
      <c r="G925" s="12" t="s">
        <v>379</v>
      </c>
      <c r="H925" s="3"/>
    </row>
    <row r="926">
      <c r="G926" s="12" t="s">
        <v>379</v>
      </c>
      <c r="H926" s="3"/>
    </row>
    <row r="927">
      <c r="G927" s="12" t="s">
        <v>379</v>
      </c>
      <c r="H927" s="3"/>
    </row>
    <row r="928">
      <c r="G928" s="12" t="s">
        <v>379</v>
      </c>
      <c r="H928" s="3"/>
    </row>
    <row r="929">
      <c r="G929" s="12" t="s">
        <v>379</v>
      </c>
      <c r="H929" s="3"/>
    </row>
    <row r="930">
      <c r="G930" s="12" t="s">
        <v>379</v>
      </c>
      <c r="H930" s="3"/>
    </row>
    <row r="931">
      <c r="G931" s="12" t="s">
        <v>379</v>
      </c>
      <c r="H931" s="3"/>
    </row>
    <row r="932">
      <c r="G932" s="12" t="s">
        <v>379</v>
      </c>
      <c r="H932" s="3"/>
    </row>
    <row r="933">
      <c r="G933" s="12" t="s">
        <v>379</v>
      </c>
      <c r="H933" s="3"/>
    </row>
    <row r="934">
      <c r="G934" s="12" t="s">
        <v>379</v>
      </c>
      <c r="H934" s="3"/>
    </row>
    <row r="935">
      <c r="G935" s="12" t="s">
        <v>379</v>
      </c>
      <c r="H935" s="3"/>
    </row>
    <row r="936">
      <c r="G936" s="12" t="s">
        <v>379</v>
      </c>
      <c r="H936" s="3"/>
    </row>
    <row r="937">
      <c r="G937" s="12" t="s">
        <v>379</v>
      </c>
      <c r="H937" s="3"/>
    </row>
    <row r="938">
      <c r="G938" s="12" t="s">
        <v>379</v>
      </c>
      <c r="H938" s="3"/>
    </row>
    <row r="939">
      <c r="G939" s="12" t="s">
        <v>379</v>
      </c>
      <c r="H939" s="3"/>
    </row>
    <row r="940">
      <c r="G940" s="12" t="s">
        <v>379</v>
      </c>
      <c r="H940" s="3"/>
    </row>
    <row r="941">
      <c r="G941" s="12" t="s">
        <v>379</v>
      </c>
      <c r="H941" s="3"/>
    </row>
    <row r="942">
      <c r="G942" s="12" t="s">
        <v>379</v>
      </c>
      <c r="H942" s="3"/>
    </row>
    <row r="943">
      <c r="G943" s="12" t="s">
        <v>379</v>
      </c>
      <c r="H943" s="3"/>
    </row>
    <row r="944">
      <c r="G944" s="12" t="s">
        <v>379</v>
      </c>
      <c r="H944" s="3"/>
    </row>
    <row r="945">
      <c r="G945" s="12" t="s">
        <v>379</v>
      </c>
      <c r="H945" s="3"/>
    </row>
    <row r="946">
      <c r="G946" s="12" t="s">
        <v>379</v>
      </c>
      <c r="H946" s="3"/>
    </row>
    <row r="947">
      <c r="G947" s="12" t="s">
        <v>379</v>
      </c>
      <c r="H947" s="3"/>
    </row>
    <row r="948">
      <c r="G948" s="12" t="s">
        <v>379</v>
      </c>
      <c r="H948" s="3"/>
    </row>
    <row r="949">
      <c r="G949" s="12" t="s">
        <v>379</v>
      </c>
      <c r="H949" s="3"/>
    </row>
    <row r="950">
      <c r="G950" s="12" t="s">
        <v>379</v>
      </c>
      <c r="H950" s="3"/>
    </row>
    <row r="951">
      <c r="G951" s="12" t="s">
        <v>379</v>
      </c>
      <c r="H951" s="3"/>
    </row>
    <row r="952">
      <c r="G952" s="12" t="s">
        <v>379</v>
      </c>
      <c r="H952" s="3"/>
    </row>
    <row r="953">
      <c r="G953" s="12" t="s">
        <v>379</v>
      </c>
      <c r="H953" s="3"/>
    </row>
    <row r="954">
      <c r="G954" s="12" t="s">
        <v>379</v>
      </c>
      <c r="H954" s="3"/>
    </row>
    <row r="955">
      <c r="G955" s="12" t="s">
        <v>379</v>
      </c>
      <c r="H955" s="3"/>
    </row>
    <row r="956">
      <c r="G956" s="12" t="s">
        <v>379</v>
      </c>
      <c r="H956" s="3"/>
    </row>
    <row r="957">
      <c r="G957" s="12" t="s">
        <v>379</v>
      </c>
      <c r="H957" s="3"/>
    </row>
    <row r="958">
      <c r="G958" s="12" t="s">
        <v>379</v>
      </c>
      <c r="H958" s="3"/>
    </row>
    <row r="959">
      <c r="G959" s="12" t="s">
        <v>379</v>
      </c>
      <c r="H959" s="3"/>
    </row>
    <row r="960">
      <c r="G960" s="12" t="s">
        <v>379</v>
      </c>
      <c r="H960" s="3"/>
    </row>
    <row r="961">
      <c r="G961" s="12" t="s">
        <v>379</v>
      </c>
      <c r="H961" s="3"/>
    </row>
    <row r="962">
      <c r="G962" s="12" t="s">
        <v>379</v>
      </c>
      <c r="H962" s="3"/>
    </row>
    <row r="963">
      <c r="G963" s="12" t="s">
        <v>379</v>
      </c>
      <c r="H963" s="3"/>
    </row>
    <row r="964">
      <c r="G964" s="12" t="s">
        <v>379</v>
      </c>
      <c r="H964" s="3"/>
    </row>
    <row r="965">
      <c r="G965" s="12" t="s">
        <v>379</v>
      </c>
      <c r="H965" s="3"/>
    </row>
    <row r="966">
      <c r="G966" s="12" t="s">
        <v>379</v>
      </c>
      <c r="H966" s="3"/>
    </row>
    <row r="967">
      <c r="G967" s="12" t="s">
        <v>379</v>
      </c>
      <c r="H967" s="3"/>
    </row>
    <row r="968">
      <c r="G968" s="12" t="s">
        <v>379</v>
      </c>
      <c r="H968" s="3"/>
    </row>
    <row r="969">
      <c r="G969" s="12" t="s">
        <v>379</v>
      </c>
      <c r="H969" s="3"/>
    </row>
    <row r="970">
      <c r="G970" s="12" t="s">
        <v>379</v>
      </c>
      <c r="H970" s="3"/>
    </row>
    <row r="971">
      <c r="G971" s="12" t="s">
        <v>379</v>
      </c>
      <c r="H971" s="3"/>
    </row>
    <row r="972">
      <c r="G972" s="12" t="s">
        <v>379</v>
      </c>
      <c r="H972" s="3"/>
    </row>
    <row r="973">
      <c r="G973" s="12" t="s">
        <v>379</v>
      </c>
      <c r="H973" s="3"/>
    </row>
    <row r="974">
      <c r="G974" s="12" t="s">
        <v>379</v>
      </c>
      <c r="H974" s="3"/>
    </row>
    <row r="975">
      <c r="G975" s="12" t="s">
        <v>379</v>
      </c>
      <c r="H975" s="3"/>
    </row>
    <row r="976">
      <c r="G976" s="12" t="s">
        <v>379</v>
      </c>
      <c r="H976" s="3"/>
    </row>
    <row r="977">
      <c r="G977" s="12" t="s">
        <v>379</v>
      </c>
      <c r="H977" s="3"/>
    </row>
    <row r="978">
      <c r="G978" s="12" t="s">
        <v>379</v>
      </c>
      <c r="H978" s="3"/>
    </row>
    <row r="979">
      <c r="G979" s="12" t="s">
        <v>379</v>
      </c>
      <c r="H979" s="3"/>
    </row>
    <row r="980">
      <c r="G980" s="12" t="s">
        <v>379</v>
      </c>
      <c r="H980" s="3"/>
    </row>
    <row r="981">
      <c r="G981" s="12" t="s">
        <v>379</v>
      </c>
      <c r="H981" s="3"/>
    </row>
    <row r="982">
      <c r="G982" s="12" t="s">
        <v>379</v>
      </c>
      <c r="H982" s="3"/>
    </row>
    <row r="983">
      <c r="G983" s="12" t="s">
        <v>379</v>
      </c>
      <c r="H983" s="3"/>
    </row>
    <row r="984">
      <c r="G984" s="12" t="s">
        <v>379</v>
      </c>
      <c r="H984" s="3"/>
    </row>
    <row r="985">
      <c r="G985" s="12" t="s">
        <v>379</v>
      </c>
      <c r="H985" s="3"/>
    </row>
    <row r="986">
      <c r="G986" s="12" t="s">
        <v>379</v>
      </c>
      <c r="H986" s="3"/>
    </row>
    <row r="987">
      <c r="G987" s="12" t="s">
        <v>379</v>
      </c>
      <c r="H987" s="3"/>
    </row>
    <row r="988">
      <c r="G988" s="12" t="s">
        <v>379</v>
      </c>
      <c r="H988" s="3"/>
    </row>
    <row r="989">
      <c r="G989" s="12" t="s">
        <v>379</v>
      </c>
      <c r="H989" s="3"/>
    </row>
    <row r="990">
      <c r="G990" s="12" t="s">
        <v>379</v>
      </c>
      <c r="H990" s="3"/>
    </row>
    <row r="991">
      <c r="G991" s="12" t="s">
        <v>379</v>
      </c>
      <c r="H991" s="3"/>
    </row>
    <row r="992">
      <c r="G992" s="12" t="s">
        <v>379</v>
      </c>
      <c r="H992" s="3"/>
    </row>
    <row r="993">
      <c r="G993" s="12" t="s">
        <v>379</v>
      </c>
      <c r="H993" s="3"/>
    </row>
    <row r="994">
      <c r="G994" s="12" t="s">
        <v>379</v>
      </c>
      <c r="H994" s="3"/>
    </row>
    <row r="995">
      <c r="G995" s="12" t="s">
        <v>379</v>
      </c>
      <c r="H995" s="3"/>
    </row>
    <row r="996">
      <c r="G996" s="12" t="s">
        <v>379</v>
      </c>
      <c r="H996" s="3"/>
    </row>
    <row r="997">
      <c r="G997" s="12" t="s">
        <v>379</v>
      </c>
      <c r="H997" s="3"/>
    </row>
    <row r="998">
      <c r="G998" s="12" t="s">
        <v>379</v>
      </c>
      <c r="H998" s="3"/>
    </row>
    <row r="999">
      <c r="G999" s="12" t="s">
        <v>379</v>
      </c>
      <c r="H999"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0" t="s">
        <v>380</v>
      </c>
      <c r="D1" s="10" t="s">
        <v>2</v>
      </c>
      <c r="E1" s="10" t="s">
        <v>381</v>
      </c>
      <c r="F1" s="10" t="s">
        <v>161</v>
      </c>
      <c r="G1" s="10" t="s">
        <v>382</v>
      </c>
      <c r="H1" s="10" t="s">
        <v>383</v>
      </c>
      <c r="I1" s="10" t="s">
        <v>190</v>
      </c>
      <c r="J1" s="10" t="s">
        <v>384</v>
      </c>
      <c r="K1" s="10" t="s">
        <v>210</v>
      </c>
    </row>
    <row r="2">
      <c r="A2" s="3" t="s">
        <v>13</v>
      </c>
      <c r="B2" s="3" t="s">
        <v>385</v>
      </c>
      <c r="C2" s="3" t="s">
        <v>16</v>
      </c>
      <c r="D2" s="3" t="s">
        <v>386</v>
      </c>
      <c r="E2" s="12">
        <f t="shared" ref="E2:E15" si="1">LEN($D2)-LEN(SUBSTITUTE($D2,",",""))+1</f>
        <v>2</v>
      </c>
      <c r="F2" s="3" t="s">
        <v>163</v>
      </c>
      <c r="G2" s="12">
        <f t="shared" ref="G2:G15" si="2">LEN($F2)-LEN(SUBSTITUTE($F2,",",""))+1</f>
        <v>1</v>
      </c>
      <c r="H2" s="3" t="s">
        <v>191</v>
      </c>
      <c r="I2" s="12">
        <f t="shared" ref="I2:I15" si="3">LEN($H2)-LEN(SUBSTITUTE($H2,",",""))+1</f>
        <v>1</v>
      </c>
      <c r="J2" s="8" t="s">
        <v>387</v>
      </c>
      <c r="K2" s="12">
        <f t="shared" ref="K2:K15" si="4">LEN($J2)-LEN(SUBSTITUTE($J2,",",""))+1</f>
        <v>1</v>
      </c>
    </row>
    <row r="3">
      <c r="A3" s="3" t="s">
        <v>20</v>
      </c>
      <c r="B3" s="3" t="s">
        <v>388</v>
      </c>
      <c r="C3" s="3" t="s">
        <v>16</v>
      </c>
      <c r="D3" s="3" t="s">
        <v>22</v>
      </c>
      <c r="E3" s="12">
        <f t="shared" si="1"/>
        <v>12</v>
      </c>
      <c r="F3" s="7" t="s">
        <v>164</v>
      </c>
      <c r="G3" s="12">
        <f t="shared" si="2"/>
        <v>2</v>
      </c>
      <c r="H3" s="7" t="s">
        <v>193</v>
      </c>
      <c r="I3" s="12">
        <f t="shared" si="3"/>
        <v>2</v>
      </c>
      <c r="J3" s="8" t="s">
        <v>221</v>
      </c>
      <c r="K3" s="12">
        <f t="shared" si="4"/>
        <v>22</v>
      </c>
    </row>
    <row r="4">
      <c r="A4" s="3" t="s">
        <v>26</v>
      </c>
      <c r="B4" s="3" t="s">
        <v>389</v>
      </c>
      <c r="C4" s="3" t="s">
        <v>16</v>
      </c>
      <c r="D4" s="3" t="s">
        <v>28</v>
      </c>
      <c r="E4" s="12">
        <f t="shared" si="1"/>
        <v>15</v>
      </c>
      <c r="F4" s="7" t="s">
        <v>166</v>
      </c>
      <c r="G4" s="12">
        <f t="shared" si="2"/>
        <v>3</v>
      </c>
      <c r="H4" s="3" t="s">
        <v>195</v>
      </c>
      <c r="I4" s="12">
        <f t="shared" si="3"/>
        <v>1</v>
      </c>
      <c r="J4" s="8" t="s">
        <v>223</v>
      </c>
      <c r="K4" s="12">
        <f t="shared" si="4"/>
        <v>52</v>
      </c>
    </row>
    <row r="5">
      <c r="A5" s="3" t="s">
        <v>32</v>
      </c>
      <c r="B5" s="3" t="s">
        <v>390</v>
      </c>
      <c r="C5" s="3" t="s">
        <v>16</v>
      </c>
      <c r="D5" s="3" t="s">
        <v>34</v>
      </c>
      <c r="E5" s="12">
        <f t="shared" si="1"/>
        <v>8</v>
      </c>
      <c r="F5" s="3" t="s">
        <v>168</v>
      </c>
      <c r="G5" s="12">
        <f t="shared" si="2"/>
        <v>1</v>
      </c>
      <c r="H5" s="3" t="s">
        <v>197</v>
      </c>
      <c r="I5" s="12">
        <f t="shared" si="3"/>
        <v>1</v>
      </c>
      <c r="J5" s="8" t="s">
        <v>225</v>
      </c>
      <c r="K5" s="12">
        <f t="shared" si="4"/>
        <v>15</v>
      </c>
    </row>
    <row r="6">
      <c r="A6" s="3" t="s">
        <v>37</v>
      </c>
      <c r="B6" s="3" t="s">
        <v>391</v>
      </c>
      <c r="C6" s="3" t="s">
        <v>16</v>
      </c>
      <c r="D6" s="3" t="s">
        <v>39</v>
      </c>
      <c r="E6" s="12">
        <f t="shared" si="1"/>
        <v>13</v>
      </c>
      <c r="F6" s="3" t="s">
        <v>169</v>
      </c>
      <c r="G6" s="12">
        <f t="shared" si="2"/>
        <v>1</v>
      </c>
      <c r="H6" s="3" t="s">
        <v>199</v>
      </c>
      <c r="I6" s="12">
        <f t="shared" si="3"/>
        <v>1</v>
      </c>
      <c r="J6" s="8" t="s">
        <v>227</v>
      </c>
      <c r="K6" s="12">
        <f t="shared" si="4"/>
        <v>6</v>
      </c>
    </row>
    <row r="7">
      <c r="A7" s="3" t="s">
        <v>42</v>
      </c>
      <c r="B7" s="3" t="s">
        <v>392</v>
      </c>
      <c r="C7" s="3" t="s">
        <v>16</v>
      </c>
      <c r="D7" s="3" t="s">
        <v>393</v>
      </c>
      <c r="E7" s="12">
        <f t="shared" si="1"/>
        <v>13</v>
      </c>
      <c r="F7" s="3" t="s">
        <v>169</v>
      </c>
      <c r="G7" s="12">
        <f t="shared" si="2"/>
        <v>1</v>
      </c>
      <c r="H7" s="3" t="s">
        <v>192</v>
      </c>
      <c r="I7" s="12">
        <f t="shared" si="3"/>
        <v>1</v>
      </c>
      <c r="J7" s="8" t="s">
        <v>394</v>
      </c>
      <c r="K7" s="12">
        <f t="shared" si="4"/>
        <v>6</v>
      </c>
    </row>
    <row r="8">
      <c r="A8" s="3" t="s">
        <v>47</v>
      </c>
      <c r="B8" s="3" t="s">
        <v>395</v>
      </c>
      <c r="C8" s="3" t="s">
        <v>16</v>
      </c>
      <c r="D8" s="7" t="s">
        <v>49</v>
      </c>
      <c r="E8" s="12">
        <f t="shared" si="1"/>
        <v>7</v>
      </c>
      <c r="F8" s="7" t="s">
        <v>172</v>
      </c>
      <c r="G8" s="12">
        <f t="shared" si="2"/>
        <v>3</v>
      </c>
      <c r="H8" s="3" t="s">
        <v>200</v>
      </c>
      <c r="I8" s="12">
        <f t="shared" si="3"/>
        <v>2</v>
      </c>
      <c r="J8" s="8" t="s">
        <v>231</v>
      </c>
      <c r="K8" s="12">
        <f t="shared" si="4"/>
        <v>5</v>
      </c>
    </row>
    <row r="9">
      <c r="A9" s="3" t="s">
        <v>52</v>
      </c>
      <c r="B9" s="3" t="s">
        <v>396</v>
      </c>
      <c r="C9" s="3" t="s">
        <v>16</v>
      </c>
      <c r="D9" s="7" t="s">
        <v>54</v>
      </c>
      <c r="E9" s="12">
        <f t="shared" si="1"/>
        <v>6</v>
      </c>
      <c r="F9" s="3" t="s">
        <v>174</v>
      </c>
      <c r="G9" s="12">
        <f t="shared" si="2"/>
        <v>1</v>
      </c>
      <c r="H9" s="3" t="s">
        <v>202</v>
      </c>
      <c r="I9" s="12">
        <f t="shared" si="3"/>
        <v>1</v>
      </c>
      <c r="J9" s="8" t="s">
        <v>233</v>
      </c>
      <c r="K9" s="12">
        <f t="shared" si="4"/>
        <v>2</v>
      </c>
    </row>
    <row r="10">
      <c r="A10" s="3" t="s">
        <v>57</v>
      </c>
      <c r="B10" s="3" t="s">
        <v>397</v>
      </c>
      <c r="C10" s="3" t="s">
        <v>16</v>
      </c>
      <c r="D10" s="7" t="s">
        <v>398</v>
      </c>
      <c r="E10" s="12">
        <f t="shared" si="1"/>
        <v>15</v>
      </c>
      <c r="F10" s="3" t="s">
        <v>176</v>
      </c>
      <c r="G10" s="12">
        <f t="shared" si="2"/>
        <v>1</v>
      </c>
      <c r="H10" s="3" t="s">
        <v>203</v>
      </c>
      <c r="I10" s="12">
        <f t="shared" si="3"/>
        <v>1</v>
      </c>
      <c r="J10" s="8" t="s">
        <v>235</v>
      </c>
      <c r="K10" s="12">
        <f t="shared" si="4"/>
        <v>2</v>
      </c>
    </row>
    <row r="11">
      <c r="A11" s="3" t="s">
        <v>63</v>
      </c>
      <c r="B11" s="3" t="s">
        <v>399</v>
      </c>
      <c r="C11" s="3" t="s">
        <v>66</v>
      </c>
      <c r="D11" s="3" t="s">
        <v>65</v>
      </c>
      <c r="E11" s="12">
        <f t="shared" si="1"/>
        <v>8</v>
      </c>
      <c r="F11" s="3" t="s">
        <v>178</v>
      </c>
      <c r="G11" s="12">
        <f t="shared" si="2"/>
        <v>2</v>
      </c>
      <c r="H11" s="3" t="s">
        <v>204</v>
      </c>
      <c r="I11" s="12">
        <f t="shared" si="3"/>
        <v>3</v>
      </c>
      <c r="J11" s="8" t="s">
        <v>237</v>
      </c>
      <c r="K11" s="12">
        <f t="shared" si="4"/>
        <v>7</v>
      </c>
    </row>
    <row r="12">
      <c r="A12" s="3" t="s">
        <v>69</v>
      </c>
      <c r="B12" s="3" t="s">
        <v>400</v>
      </c>
      <c r="C12" s="3" t="s">
        <v>31</v>
      </c>
      <c r="D12" s="7" t="s">
        <v>71</v>
      </c>
      <c r="E12" s="12">
        <f t="shared" si="1"/>
        <v>12</v>
      </c>
      <c r="F12" s="3" t="s">
        <v>180</v>
      </c>
      <c r="G12" s="12">
        <f t="shared" si="2"/>
        <v>1</v>
      </c>
      <c r="H12" s="3" t="s">
        <v>204</v>
      </c>
      <c r="I12" s="12">
        <f t="shared" si="3"/>
        <v>3</v>
      </c>
      <c r="J12" s="8" t="s">
        <v>239</v>
      </c>
      <c r="K12" s="12">
        <f t="shared" si="4"/>
        <v>20</v>
      </c>
    </row>
    <row r="13">
      <c r="A13" s="3" t="s">
        <v>74</v>
      </c>
      <c r="B13" s="3" t="s">
        <v>401</v>
      </c>
      <c r="C13" s="3" t="s">
        <v>16</v>
      </c>
      <c r="D13" s="7" t="s">
        <v>76</v>
      </c>
      <c r="E13" s="12">
        <f t="shared" si="1"/>
        <v>6</v>
      </c>
      <c r="F13" s="3" t="s">
        <v>181</v>
      </c>
      <c r="G13" s="12">
        <f t="shared" si="2"/>
        <v>3</v>
      </c>
      <c r="H13" s="3" t="s">
        <v>192</v>
      </c>
      <c r="I13" s="12">
        <f t="shared" si="3"/>
        <v>1</v>
      </c>
      <c r="J13" s="8" t="s">
        <v>241</v>
      </c>
      <c r="K13" s="12">
        <f t="shared" si="4"/>
        <v>6</v>
      </c>
    </row>
    <row r="14">
      <c r="A14" s="3" t="s">
        <v>79</v>
      </c>
      <c r="B14" s="3" t="s">
        <v>402</v>
      </c>
      <c r="C14" s="3" t="s">
        <v>16</v>
      </c>
      <c r="D14" s="3" t="s">
        <v>403</v>
      </c>
      <c r="E14" s="12">
        <f t="shared" si="1"/>
        <v>3</v>
      </c>
      <c r="F14" s="3" t="s">
        <v>404</v>
      </c>
      <c r="G14" s="12">
        <f t="shared" si="2"/>
        <v>2</v>
      </c>
      <c r="H14" s="3" t="s">
        <v>207</v>
      </c>
      <c r="I14" s="12">
        <f t="shared" si="3"/>
        <v>2</v>
      </c>
      <c r="J14" s="8" t="s">
        <v>405</v>
      </c>
      <c r="K14" s="12">
        <f t="shared" si="4"/>
        <v>1</v>
      </c>
    </row>
    <row r="15">
      <c r="A15" s="3" t="s">
        <v>84</v>
      </c>
      <c r="B15" s="3" t="s">
        <v>406</v>
      </c>
      <c r="C15" s="8" t="s">
        <v>16</v>
      </c>
      <c r="D15" s="3" t="s">
        <v>86</v>
      </c>
      <c r="E15" s="12">
        <f t="shared" si="1"/>
        <v>25</v>
      </c>
      <c r="F15" s="3" t="s">
        <v>184</v>
      </c>
      <c r="G15" s="12">
        <f t="shared" si="2"/>
        <v>2</v>
      </c>
      <c r="H15" s="3" t="s">
        <v>194</v>
      </c>
      <c r="I15" s="12">
        <f t="shared" si="3"/>
        <v>1</v>
      </c>
      <c r="J15" s="8" t="s">
        <v>245</v>
      </c>
      <c r="K15" s="12">
        <f t="shared" si="4"/>
        <v>12</v>
      </c>
    </row>
  </sheetData>
  <drawing r:id="rId1"/>
</worksheet>
</file>